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75" windowWidth="6015" windowHeight="4650" activeTab="0"/>
  </bookViews>
  <sheets>
    <sheet name="Dish" sheetId="1" r:id="rId1"/>
    <sheet name="Feed" sheetId="2" r:id="rId2"/>
    <sheet name="Chart_calc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Gene Marcus</author>
  </authors>
  <commentList>
    <comment ref="L15" authorId="0">
      <text>
        <r>
          <rPr>
            <sz val="8"/>
            <rFont val="Tahoma"/>
            <family val="0"/>
          </rPr>
          <t xml:space="preserve">
For 10dB edge taper of feed.</t>
        </r>
      </text>
    </comment>
    <comment ref="L19" authorId="0">
      <text>
        <r>
          <rPr>
            <sz val="8"/>
            <rFont val="Tahoma"/>
            <family val="0"/>
          </rPr>
          <t xml:space="preserve">
Assumes 50% efficiency</t>
        </r>
      </text>
    </comment>
    <comment ref="L20" authorId="0">
      <text>
        <r>
          <rPr>
            <sz val="8"/>
            <rFont val="Tahoma"/>
            <family val="0"/>
          </rPr>
          <t xml:space="preserve">
Approximation. Assumes field distribution tapers to zero at edge of parabola.</t>
        </r>
      </text>
    </comment>
  </commentList>
</comments>
</file>

<file path=xl/sharedStrings.xml><?xml version="1.0" encoding="utf-8"?>
<sst xmlns="http://schemas.openxmlformats.org/spreadsheetml/2006/main" count="78" uniqueCount="60">
  <si>
    <t>f/d</t>
  </si>
  <si>
    <t>o</t>
  </si>
  <si>
    <t>Feed beamwidth</t>
  </si>
  <si>
    <t>Focal length</t>
  </si>
  <si>
    <t>Gain</t>
  </si>
  <si>
    <t>Select unit of measurement:</t>
  </si>
  <si>
    <t>c =</t>
  </si>
  <si>
    <t>d =</t>
  </si>
  <si>
    <t>freq (MHz) =</t>
  </si>
  <si>
    <t>MHz</t>
  </si>
  <si>
    <t>dBic</t>
  </si>
  <si>
    <t>mm</t>
  </si>
  <si>
    <t>y2 =</t>
  </si>
  <si>
    <t>Actual gain</t>
  </si>
  <si>
    <t>feed area =</t>
  </si>
  <si>
    <t>feed reflector diameter =</t>
  </si>
  <si>
    <t>cm</t>
  </si>
  <si>
    <t>m</t>
  </si>
  <si>
    <t xml:space="preserve">in </t>
  </si>
  <si>
    <t>ft</t>
  </si>
  <si>
    <t>focal length</t>
  </si>
  <si>
    <t>diameter</t>
  </si>
  <si>
    <t>depth</t>
  </si>
  <si>
    <t>feed dia.=</t>
  </si>
  <si>
    <t>-3 dB beamwidth</t>
  </si>
  <si>
    <t>Feed blockage</t>
  </si>
  <si>
    <t>dB</t>
  </si>
  <si>
    <t>lambda =</t>
  </si>
  <si>
    <t>feed-diameter ratio =</t>
  </si>
  <si>
    <t>n=</t>
  </si>
  <si>
    <t>taper factor =</t>
  </si>
  <si>
    <t>dish gain =</t>
  </si>
  <si>
    <t>dBi</t>
  </si>
  <si>
    <t>dish aperture =</t>
  </si>
  <si>
    <t>feed blockage=</t>
  </si>
  <si>
    <t>feed diameter</t>
  </si>
  <si>
    <t>aperture at focal length=</t>
  </si>
  <si>
    <t>-3 dB data</t>
  </si>
  <si>
    <t>-10 dB data</t>
  </si>
  <si>
    <t>-15 dB data</t>
  </si>
  <si>
    <t>3dB</t>
  </si>
  <si>
    <t>10 dB</t>
  </si>
  <si>
    <t>15dB</t>
  </si>
  <si>
    <t>beamwidth</t>
  </si>
  <si>
    <t xml:space="preserve">freq (MHz) </t>
  </si>
  <si>
    <t>feed dia.</t>
  </si>
  <si>
    <t>Dish Data</t>
  </si>
  <si>
    <t>Number of turns =</t>
  </si>
  <si>
    <t>Helix Data</t>
  </si>
  <si>
    <r>
      <t>-10 dB</t>
    </r>
    <r>
      <rPr>
        <sz val="10"/>
        <rFont val="Arial"/>
        <family val="0"/>
      </rPr>
      <t xml:space="preserve"> beamwidth</t>
    </r>
  </si>
  <si>
    <r>
      <t>-15 dB</t>
    </r>
    <r>
      <rPr>
        <sz val="10"/>
        <rFont val="Arial"/>
        <family val="0"/>
      </rPr>
      <t xml:space="preserve"> beamwidth</t>
    </r>
  </si>
  <si>
    <t>λ</t>
  </si>
  <si>
    <t>20dB</t>
  </si>
  <si>
    <t>-20 dB data</t>
  </si>
  <si>
    <r>
      <t>-20 dB</t>
    </r>
    <r>
      <rPr>
        <sz val="10"/>
        <rFont val="Arial"/>
        <family val="0"/>
      </rPr>
      <t xml:space="preserve"> beamwidth</t>
    </r>
  </si>
  <si>
    <r>
      <t>- 3 dB</t>
    </r>
    <r>
      <rPr>
        <sz val="10"/>
        <rFont val="Arial"/>
        <family val="0"/>
      </rPr>
      <t xml:space="preserve"> beamwidth</t>
    </r>
  </si>
  <si>
    <t>Gene Marcus w3pm gm4yre</t>
  </si>
  <si>
    <t>w3pm@amsat.org</t>
  </si>
  <si>
    <t>To compare the dish under test to a true parabola, enter dish height measurements here.</t>
  </si>
  <si>
    <r>
      <t xml:space="preserve">Dish Design Tool </t>
    </r>
    <r>
      <rPr>
        <b/>
        <sz val="12"/>
        <rFont val="Arial"/>
        <family val="2"/>
      </rPr>
      <t>v1.1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</si>
</sst>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  <numFmt numFmtId="167" formatCode=";;;"/>
  </numFmts>
  <fonts count="2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0"/>
    </font>
    <font>
      <sz val="8"/>
      <name val="Tahoma"/>
      <family val="0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57"/>
      <name val="Arial"/>
      <family val="2"/>
    </font>
    <font>
      <sz val="6"/>
      <name val="Arial"/>
      <family val="2"/>
    </font>
    <font>
      <sz val="10"/>
      <color indexed="18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color indexed="23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8.75"/>
      <name val="Arial"/>
      <family val="0"/>
    </font>
    <font>
      <sz val="8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0" borderId="0" xfId="0" applyFont="1" applyAlignment="1">
      <alignment horizontal="center"/>
    </xf>
    <xf numFmtId="0" fontId="0" fillId="2" borderId="0" xfId="0" applyFont="1" applyFill="1" applyBorder="1" applyAlignment="1">
      <alignment horizontal="right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 quotePrefix="1">
      <alignment horizontal="right"/>
    </xf>
    <xf numFmtId="0" fontId="2" fillId="0" borderId="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6" fontId="7" fillId="2" borderId="9" xfId="0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2" fontId="1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right"/>
    </xf>
    <xf numFmtId="166" fontId="7" fillId="0" borderId="10" xfId="0" applyNumberFormat="1" applyFont="1" applyFill="1" applyBorder="1" applyAlignment="1">
      <alignment/>
    </xf>
    <xf numFmtId="0" fontId="0" fillId="0" borderId="0" xfId="0" applyFill="1" applyBorder="1" applyAlignment="1" quotePrefix="1">
      <alignment horizontal="right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 quotePrefix="1">
      <alignment horizontal="right"/>
    </xf>
    <xf numFmtId="0" fontId="13" fillId="0" borderId="0" xfId="0" applyFont="1" applyAlignment="1" quotePrefix="1">
      <alignment horizontal="right"/>
    </xf>
    <xf numFmtId="0" fontId="15" fillId="0" borderId="0" xfId="0" applyFont="1" applyAlignment="1" quotePrefix="1">
      <alignment horizontal="right"/>
    </xf>
    <xf numFmtId="166" fontId="7" fillId="0" borderId="0" xfId="0" applyNumberFormat="1" applyFont="1" applyAlignment="1">
      <alignment/>
    </xf>
    <xf numFmtId="0" fontId="16" fillId="0" borderId="0" xfId="0" applyFont="1" applyAlignment="1">
      <alignment/>
    </xf>
    <xf numFmtId="1" fontId="8" fillId="0" borderId="9" xfId="0" applyNumberFormat="1" applyFont="1" applyFill="1" applyBorder="1" applyAlignment="1">
      <alignment horizontal="center"/>
    </xf>
    <xf numFmtId="166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0" fontId="17" fillId="0" borderId="0" xfId="0" applyFont="1" applyAlignment="1" quotePrefix="1">
      <alignment horizontal="right"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4" fillId="3" borderId="9" xfId="0" applyFont="1" applyFill="1" applyBorder="1" applyAlignment="1" applyProtection="1">
      <alignment/>
      <protection locked="0"/>
    </xf>
    <xf numFmtId="3" fontId="4" fillId="3" borderId="9" xfId="0" applyNumberFormat="1" applyFont="1" applyFill="1" applyBorder="1" applyAlignment="1" applyProtection="1">
      <alignment/>
      <protection locked="0"/>
    </xf>
    <xf numFmtId="0" fontId="4" fillId="3" borderId="9" xfId="0" applyNumberFormat="1" applyFont="1" applyFill="1" applyBorder="1" applyAlignment="1" applyProtection="1">
      <alignment/>
      <protection locked="0"/>
    </xf>
    <xf numFmtId="2" fontId="22" fillId="0" borderId="9" xfId="0" applyNumberFormat="1" applyFont="1" applyBorder="1" applyAlignment="1">
      <alignment horizontal="center"/>
    </xf>
    <xf numFmtId="0" fontId="14" fillId="0" borderId="9" xfId="0" applyFont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0" fillId="2" borderId="5" xfId="0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51"/>
          <c:w val="0.9285"/>
          <c:h val="0.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Dish!$D$47:$AB$47</c:f>
              <c:numCache>
                <c:ptCount val="25"/>
                <c:pt idx="0">
                  <c:v>30</c:v>
                </c:pt>
                <c:pt idx="1">
                  <c:v>27.5</c:v>
                </c:pt>
                <c:pt idx="2">
                  <c:v>25</c:v>
                </c:pt>
                <c:pt idx="3">
                  <c:v>22.5</c:v>
                </c:pt>
                <c:pt idx="4">
                  <c:v>20</c:v>
                </c:pt>
                <c:pt idx="5">
                  <c:v>17.5</c:v>
                </c:pt>
                <c:pt idx="6">
                  <c:v>15</c:v>
                </c:pt>
                <c:pt idx="7">
                  <c:v>12.5</c:v>
                </c:pt>
                <c:pt idx="8">
                  <c:v>10</c:v>
                </c:pt>
                <c:pt idx="9">
                  <c:v>7.5</c:v>
                </c:pt>
                <c:pt idx="10">
                  <c:v>5</c:v>
                </c:pt>
                <c:pt idx="11">
                  <c:v>2.5</c:v>
                </c:pt>
                <c:pt idx="12">
                  <c:v>0</c:v>
                </c:pt>
                <c:pt idx="13">
                  <c:v>2.5</c:v>
                </c:pt>
                <c:pt idx="14">
                  <c:v>5</c:v>
                </c:pt>
                <c:pt idx="15">
                  <c:v>7.5</c:v>
                </c:pt>
                <c:pt idx="16">
                  <c:v>10</c:v>
                </c:pt>
                <c:pt idx="17">
                  <c:v>12.5</c:v>
                </c:pt>
                <c:pt idx="18">
                  <c:v>15</c:v>
                </c:pt>
                <c:pt idx="19">
                  <c:v>17.5</c:v>
                </c:pt>
                <c:pt idx="20">
                  <c:v>20</c:v>
                </c:pt>
                <c:pt idx="21">
                  <c:v>22.5</c:v>
                </c:pt>
                <c:pt idx="22">
                  <c:v>25</c:v>
                </c:pt>
                <c:pt idx="23">
                  <c:v>27.5</c:v>
                </c:pt>
                <c:pt idx="24">
                  <c:v>30</c:v>
                </c:pt>
              </c:numCache>
            </c:numRef>
          </c:cat>
          <c:val>
            <c:numRef>
              <c:f>Chart_calc!$B$17:$Z$17</c:f>
              <c:numCache>
                <c:ptCount val="25"/>
                <c:pt idx="0">
                  <c:v>8</c:v>
                </c:pt>
                <c:pt idx="1">
                  <c:v>9.677083333333332</c:v>
                </c:pt>
                <c:pt idx="2">
                  <c:v>11.354166666666664</c:v>
                </c:pt>
                <c:pt idx="3">
                  <c:v>13.031249999999996</c:v>
                </c:pt>
                <c:pt idx="4">
                  <c:v>14.708333333333329</c:v>
                </c:pt>
                <c:pt idx="5">
                  <c:v>16.38541666666666</c:v>
                </c:pt>
                <c:pt idx="6">
                  <c:v>18.062499999999996</c:v>
                </c:pt>
                <c:pt idx="7">
                  <c:v>19.739583333333332</c:v>
                </c:pt>
                <c:pt idx="8">
                  <c:v>21.416666666666668</c:v>
                </c:pt>
                <c:pt idx="9">
                  <c:v>23.093750000000004</c:v>
                </c:pt>
                <c:pt idx="10">
                  <c:v>24.77083333333334</c:v>
                </c:pt>
                <c:pt idx="11">
                  <c:v>26.447916666666675</c:v>
                </c:pt>
                <c:pt idx="12">
                  <c:v>28.125</c:v>
                </c:pt>
                <c:pt idx="13">
                  <c:v>26.447916666666675</c:v>
                </c:pt>
                <c:pt idx="14">
                  <c:v>24.77083333333334</c:v>
                </c:pt>
                <c:pt idx="15">
                  <c:v>23.093750000000004</c:v>
                </c:pt>
                <c:pt idx="16">
                  <c:v>21.416666666666668</c:v>
                </c:pt>
                <c:pt idx="17">
                  <c:v>19.739583333333332</c:v>
                </c:pt>
                <c:pt idx="18">
                  <c:v>18.062499999999996</c:v>
                </c:pt>
                <c:pt idx="19">
                  <c:v>16.38541666666666</c:v>
                </c:pt>
                <c:pt idx="20">
                  <c:v>14.708333333333329</c:v>
                </c:pt>
                <c:pt idx="21">
                  <c:v>13.031249999999996</c:v>
                </c:pt>
                <c:pt idx="22">
                  <c:v>11.354166666666664</c:v>
                </c:pt>
                <c:pt idx="23">
                  <c:v>9.677083333333332</c:v>
                </c:pt>
                <c:pt idx="24">
                  <c:v>8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Dish!$D$47:$AB$47</c:f>
              <c:numCache>
                <c:ptCount val="25"/>
                <c:pt idx="0">
                  <c:v>30</c:v>
                </c:pt>
                <c:pt idx="1">
                  <c:v>27.5</c:v>
                </c:pt>
                <c:pt idx="2">
                  <c:v>25</c:v>
                </c:pt>
                <c:pt idx="3">
                  <c:v>22.5</c:v>
                </c:pt>
                <c:pt idx="4">
                  <c:v>20</c:v>
                </c:pt>
                <c:pt idx="5">
                  <c:v>17.5</c:v>
                </c:pt>
                <c:pt idx="6">
                  <c:v>15</c:v>
                </c:pt>
                <c:pt idx="7">
                  <c:v>12.5</c:v>
                </c:pt>
                <c:pt idx="8">
                  <c:v>10</c:v>
                </c:pt>
                <c:pt idx="9">
                  <c:v>7.5</c:v>
                </c:pt>
                <c:pt idx="10">
                  <c:v>5</c:v>
                </c:pt>
                <c:pt idx="11">
                  <c:v>2.5</c:v>
                </c:pt>
                <c:pt idx="12">
                  <c:v>0</c:v>
                </c:pt>
                <c:pt idx="13">
                  <c:v>2.5</c:v>
                </c:pt>
                <c:pt idx="14">
                  <c:v>5</c:v>
                </c:pt>
                <c:pt idx="15">
                  <c:v>7.5</c:v>
                </c:pt>
                <c:pt idx="16">
                  <c:v>10</c:v>
                </c:pt>
                <c:pt idx="17">
                  <c:v>12.5</c:v>
                </c:pt>
                <c:pt idx="18">
                  <c:v>15</c:v>
                </c:pt>
                <c:pt idx="19">
                  <c:v>17.5</c:v>
                </c:pt>
                <c:pt idx="20">
                  <c:v>20</c:v>
                </c:pt>
                <c:pt idx="21">
                  <c:v>22.5</c:v>
                </c:pt>
                <c:pt idx="22">
                  <c:v>25</c:v>
                </c:pt>
                <c:pt idx="23">
                  <c:v>27.5</c:v>
                </c:pt>
                <c:pt idx="24">
                  <c:v>30</c:v>
                </c:pt>
              </c:numCache>
            </c:numRef>
          </c:cat>
          <c:val>
            <c:numRef>
              <c:f>Chart_calc!$B$18:$Z$18</c:f>
              <c:numCache>
                <c:ptCount val="25"/>
                <c:pt idx="0">
                  <c:v>8</c:v>
                </c:pt>
                <c:pt idx="1">
                  <c:v>6.722222222222222</c:v>
                </c:pt>
                <c:pt idx="2">
                  <c:v>5.555555555555555</c:v>
                </c:pt>
                <c:pt idx="3">
                  <c:v>4.5</c:v>
                </c:pt>
                <c:pt idx="4">
                  <c:v>3.5555555555555554</c:v>
                </c:pt>
                <c:pt idx="5">
                  <c:v>2.7222222222222223</c:v>
                </c:pt>
                <c:pt idx="6">
                  <c:v>2</c:v>
                </c:pt>
                <c:pt idx="7">
                  <c:v>1.3888888888888888</c:v>
                </c:pt>
                <c:pt idx="8">
                  <c:v>0.8888888888888888</c:v>
                </c:pt>
                <c:pt idx="9">
                  <c:v>0.5</c:v>
                </c:pt>
                <c:pt idx="10">
                  <c:v>0.2222222222222222</c:v>
                </c:pt>
                <c:pt idx="11">
                  <c:v>0.05555555555555555</c:v>
                </c:pt>
                <c:pt idx="12">
                  <c:v>0</c:v>
                </c:pt>
                <c:pt idx="13">
                  <c:v>0.05555555555555555</c:v>
                </c:pt>
                <c:pt idx="14">
                  <c:v>0.2222222222222222</c:v>
                </c:pt>
                <c:pt idx="15">
                  <c:v>0.5</c:v>
                </c:pt>
                <c:pt idx="16">
                  <c:v>0.8888888888888888</c:v>
                </c:pt>
                <c:pt idx="17">
                  <c:v>1.3888888888888888</c:v>
                </c:pt>
                <c:pt idx="18">
                  <c:v>2</c:v>
                </c:pt>
                <c:pt idx="19">
                  <c:v>2.7222222222222223</c:v>
                </c:pt>
                <c:pt idx="20">
                  <c:v>3.5555555555555554</c:v>
                </c:pt>
                <c:pt idx="21">
                  <c:v>4.5</c:v>
                </c:pt>
                <c:pt idx="22">
                  <c:v>5.555555555555555</c:v>
                </c:pt>
                <c:pt idx="23">
                  <c:v>6.722222222222222</c:v>
                </c:pt>
                <c:pt idx="24">
                  <c:v>8</c:v>
                </c:pt>
              </c:numCache>
            </c:numRef>
          </c: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Dish!$D$47:$AB$47</c:f>
              <c:numCache>
                <c:ptCount val="25"/>
                <c:pt idx="0">
                  <c:v>30</c:v>
                </c:pt>
                <c:pt idx="1">
                  <c:v>27.5</c:v>
                </c:pt>
                <c:pt idx="2">
                  <c:v>25</c:v>
                </c:pt>
                <c:pt idx="3">
                  <c:v>22.5</c:v>
                </c:pt>
                <c:pt idx="4">
                  <c:v>20</c:v>
                </c:pt>
                <c:pt idx="5">
                  <c:v>17.5</c:v>
                </c:pt>
                <c:pt idx="6">
                  <c:v>15</c:v>
                </c:pt>
                <c:pt idx="7">
                  <c:v>12.5</c:v>
                </c:pt>
                <c:pt idx="8">
                  <c:v>10</c:v>
                </c:pt>
                <c:pt idx="9">
                  <c:v>7.5</c:v>
                </c:pt>
                <c:pt idx="10">
                  <c:v>5</c:v>
                </c:pt>
                <c:pt idx="11">
                  <c:v>2.5</c:v>
                </c:pt>
                <c:pt idx="12">
                  <c:v>0</c:v>
                </c:pt>
                <c:pt idx="13">
                  <c:v>2.5</c:v>
                </c:pt>
                <c:pt idx="14">
                  <c:v>5</c:v>
                </c:pt>
                <c:pt idx="15">
                  <c:v>7.5</c:v>
                </c:pt>
                <c:pt idx="16">
                  <c:v>10</c:v>
                </c:pt>
                <c:pt idx="17">
                  <c:v>12.5</c:v>
                </c:pt>
                <c:pt idx="18">
                  <c:v>15</c:v>
                </c:pt>
                <c:pt idx="19">
                  <c:v>17.5</c:v>
                </c:pt>
                <c:pt idx="20">
                  <c:v>20</c:v>
                </c:pt>
                <c:pt idx="21">
                  <c:v>22.5</c:v>
                </c:pt>
                <c:pt idx="22">
                  <c:v>25</c:v>
                </c:pt>
                <c:pt idx="23">
                  <c:v>27.5</c:v>
                </c:pt>
                <c:pt idx="24">
                  <c:v>30</c:v>
                </c:pt>
              </c:numCache>
            </c:numRef>
          </c:cat>
          <c:val>
            <c:numRef>
              <c:f>Chart_calc!$B$19:$Z$19</c:f>
              <c:numCache>
                <c:ptCount val="25"/>
                <c:pt idx="12">
                  <c:v>28.125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Dish!$D$47:$AB$47</c:f>
              <c:numCache>
                <c:ptCount val="25"/>
                <c:pt idx="0">
                  <c:v>30</c:v>
                </c:pt>
                <c:pt idx="1">
                  <c:v>27.5</c:v>
                </c:pt>
                <c:pt idx="2">
                  <c:v>25</c:v>
                </c:pt>
                <c:pt idx="3">
                  <c:v>22.5</c:v>
                </c:pt>
                <c:pt idx="4">
                  <c:v>20</c:v>
                </c:pt>
                <c:pt idx="5">
                  <c:v>17.5</c:v>
                </c:pt>
                <c:pt idx="6">
                  <c:v>15</c:v>
                </c:pt>
                <c:pt idx="7">
                  <c:v>12.5</c:v>
                </c:pt>
                <c:pt idx="8">
                  <c:v>10</c:v>
                </c:pt>
                <c:pt idx="9">
                  <c:v>7.5</c:v>
                </c:pt>
                <c:pt idx="10">
                  <c:v>5</c:v>
                </c:pt>
                <c:pt idx="11">
                  <c:v>2.5</c:v>
                </c:pt>
                <c:pt idx="12">
                  <c:v>0</c:v>
                </c:pt>
                <c:pt idx="13">
                  <c:v>2.5</c:v>
                </c:pt>
                <c:pt idx="14">
                  <c:v>5</c:v>
                </c:pt>
                <c:pt idx="15">
                  <c:v>7.5</c:v>
                </c:pt>
                <c:pt idx="16">
                  <c:v>10</c:v>
                </c:pt>
                <c:pt idx="17">
                  <c:v>12.5</c:v>
                </c:pt>
                <c:pt idx="18">
                  <c:v>15</c:v>
                </c:pt>
                <c:pt idx="19">
                  <c:v>17.5</c:v>
                </c:pt>
                <c:pt idx="20">
                  <c:v>20</c:v>
                </c:pt>
                <c:pt idx="21">
                  <c:v>22.5</c:v>
                </c:pt>
                <c:pt idx="22">
                  <c:v>25</c:v>
                </c:pt>
                <c:pt idx="23">
                  <c:v>27.5</c:v>
                </c:pt>
                <c:pt idx="24">
                  <c:v>30</c:v>
                </c:pt>
              </c:numCache>
            </c:numRef>
          </c:cat>
          <c:val>
            <c:numRef>
              <c:f>Dish!$D$50:$AB$50</c:f>
              <c:numCache>
                <c:ptCount val="25"/>
              </c:numCache>
            </c:numRef>
          </c:val>
          <c:smooth val="1"/>
        </c:ser>
        <c:marker val="1"/>
        <c:axId val="19004479"/>
        <c:axId val="36822584"/>
      </c:lineChart>
      <c:catAx>
        <c:axId val="1900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04479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DISH ILLUMINATION CHARTACTERISTICS</a:t>
            </a:r>
          </a:p>
        </c:rich>
      </c:tx>
      <c:layout>
        <c:manualLayout>
          <c:xMode val="factor"/>
          <c:yMode val="factor"/>
          <c:x val="0.0317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325"/>
          <c:w val="0.94675"/>
          <c:h val="0.69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Chart_calc!$B$2:$AX$2</c:f>
              <c:numCache>
                <c:ptCount val="49"/>
                <c:pt idx="0">
                  <c:v>30</c:v>
                </c:pt>
                <c:pt idx="1">
                  <c:v>28.75</c:v>
                </c:pt>
                <c:pt idx="2">
                  <c:v>27.5</c:v>
                </c:pt>
                <c:pt idx="3">
                  <c:v>26.25</c:v>
                </c:pt>
                <c:pt idx="4">
                  <c:v>25</c:v>
                </c:pt>
                <c:pt idx="5">
                  <c:v>23.75</c:v>
                </c:pt>
                <c:pt idx="6">
                  <c:v>22.5</c:v>
                </c:pt>
                <c:pt idx="7">
                  <c:v>21.25</c:v>
                </c:pt>
                <c:pt idx="8">
                  <c:v>20</c:v>
                </c:pt>
                <c:pt idx="9">
                  <c:v>18.75</c:v>
                </c:pt>
                <c:pt idx="10">
                  <c:v>17.5</c:v>
                </c:pt>
                <c:pt idx="11">
                  <c:v>16.25</c:v>
                </c:pt>
                <c:pt idx="12">
                  <c:v>15</c:v>
                </c:pt>
                <c:pt idx="13">
                  <c:v>13.75</c:v>
                </c:pt>
                <c:pt idx="14">
                  <c:v>12.5</c:v>
                </c:pt>
                <c:pt idx="15">
                  <c:v>11.25</c:v>
                </c:pt>
                <c:pt idx="16">
                  <c:v>10</c:v>
                </c:pt>
                <c:pt idx="17">
                  <c:v>8.75</c:v>
                </c:pt>
                <c:pt idx="18">
                  <c:v>7.5</c:v>
                </c:pt>
                <c:pt idx="19">
                  <c:v>6.25</c:v>
                </c:pt>
                <c:pt idx="20">
                  <c:v>5</c:v>
                </c:pt>
                <c:pt idx="21">
                  <c:v>3.75</c:v>
                </c:pt>
                <c:pt idx="22">
                  <c:v>2.5</c:v>
                </c:pt>
                <c:pt idx="23">
                  <c:v>1.25</c:v>
                </c:pt>
                <c:pt idx="24">
                  <c:v>0</c:v>
                </c:pt>
                <c:pt idx="25">
                  <c:v>1.25</c:v>
                </c:pt>
                <c:pt idx="26">
                  <c:v>2.5</c:v>
                </c:pt>
                <c:pt idx="27">
                  <c:v>3.75</c:v>
                </c:pt>
                <c:pt idx="28">
                  <c:v>5</c:v>
                </c:pt>
                <c:pt idx="29">
                  <c:v>6.25</c:v>
                </c:pt>
                <c:pt idx="30">
                  <c:v>7.5</c:v>
                </c:pt>
                <c:pt idx="31">
                  <c:v>8.75</c:v>
                </c:pt>
                <c:pt idx="32">
                  <c:v>10</c:v>
                </c:pt>
                <c:pt idx="33">
                  <c:v>11.25</c:v>
                </c:pt>
                <c:pt idx="34">
                  <c:v>12.5</c:v>
                </c:pt>
                <c:pt idx="35">
                  <c:v>13.75</c:v>
                </c:pt>
                <c:pt idx="36">
                  <c:v>15</c:v>
                </c:pt>
                <c:pt idx="37">
                  <c:v>16.25</c:v>
                </c:pt>
                <c:pt idx="38">
                  <c:v>17.5</c:v>
                </c:pt>
                <c:pt idx="39">
                  <c:v>18.75</c:v>
                </c:pt>
                <c:pt idx="40">
                  <c:v>20</c:v>
                </c:pt>
                <c:pt idx="41">
                  <c:v>21.25</c:v>
                </c:pt>
                <c:pt idx="42">
                  <c:v>22.5</c:v>
                </c:pt>
                <c:pt idx="43">
                  <c:v>23.75</c:v>
                </c:pt>
                <c:pt idx="44">
                  <c:v>25</c:v>
                </c:pt>
                <c:pt idx="45">
                  <c:v>26.25</c:v>
                </c:pt>
                <c:pt idx="46">
                  <c:v>27.5</c:v>
                </c:pt>
                <c:pt idx="47">
                  <c:v>28.75</c:v>
                </c:pt>
                <c:pt idx="48">
                  <c:v>30</c:v>
                </c:pt>
              </c:numCache>
            </c:numRef>
          </c:cat>
          <c:val>
            <c:numRef>
              <c:f>Chart_calc!$B$5:$AX$5</c:f>
              <c:numCache>
                <c:ptCount val="49"/>
                <c:pt idx="0">
                  <c:v>8</c:v>
                </c:pt>
                <c:pt idx="1">
                  <c:v>7.347222222222222</c:v>
                </c:pt>
                <c:pt idx="2">
                  <c:v>6.722222222222222</c:v>
                </c:pt>
                <c:pt idx="3">
                  <c:v>6.125</c:v>
                </c:pt>
                <c:pt idx="4">
                  <c:v>5.555555555555555</c:v>
                </c:pt>
                <c:pt idx="5">
                  <c:v>5.013888888888889</c:v>
                </c:pt>
                <c:pt idx="6">
                  <c:v>4.5</c:v>
                </c:pt>
                <c:pt idx="7">
                  <c:v>4.013888888888889</c:v>
                </c:pt>
                <c:pt idx="8">
                  <c:v>3.5555555555555554</c:v>
                </c:pt>
                <c:pt idx="9">
                  <c:v>3.125</c:v>
                </c:pt>
                <c:pt idx="10">
                  <c:v>2.7222222222222223</c:v>
                </c:pt>
                <c:pt idx="11">
                  <c:v>2.3472222222222223</c:v>
                </c:pt>
                <c:pt idx="12">
                  <c:v>2</c:v>
                </c:pt>
                <c:pt idx="13">
                  <c:v>1.6805555555555556</c:v>
                </c:pt>
                <c:pt idx="14">
                  <c:v>1.3888888888888888</c:v>
                </c:pt>
                <c:pt idx="15">
                  <c:v>1.125</c:v>
                </c:pt>
                <c:pt idx="16">
                  <c:v>0.8888888888888888</c:v>
                </c:pt>
                <c:pt idx="17">
                  <c:v>0.6805555555555556</c:v>
                </c:pt>
                <c:pt idx="18">
                  <c:v>0.5</c:v>
                </c:pt>
                <c:pt idx="19">
                  <c:v>0.3472222222222222</c:v>
                </c:pt>
                <c:pt idx="20">
                  <c:v>0.2222222222222222</c:v>
                </c:pt>
                <c:pt idx="21">
                  <c:v>0.125</c:v>
                </c:pt>
                <c:pt idx="22">
                  <c:v>0.05555555555555555</c:v>
                </c:pt>
                <c:pt idx="23">
                  <c:v>0.013888888888888888</c:v>
                </c:pt>
                <c:pt idx="24">
                  <c:v>0</c:v>
                </c:pt>
                <c:pt idx="25">
                  <c:v>0.013888888888888888</c:v>
                </c:pt>
                <c:pt idx="26">
                  <c:v>0.05555555555555555</c:v>
                </c:pt>
                <c:pt idx="27">
                  <c:v>0.125</c:v>
                </c:pt>
                <c:pt idx="28">
                  <c:v>0.2222222222222222</c:v>
                </c:pt>
                <c:pt idx="29">
                  <c:v>0.3472222222222222</c:v>
                </c:pt>
                <c:pt idx="30">
                  <c:v>0.5</c:v>
                </c:pt>
                <c:pt idx="31">
                  <c:v>0.6805555555555556</c:v>
                </c:pt>
                <c:pt idx="32">
                  <c:v>0.8888888888888888</c:v>
                </c:pt>
                <c:pt idx="33">
                  <c:v>1.125</c:v>
                </c:pt>
                <c:pt idx="34">
                  <c:v>1.3888888888888888</c:v>
                </c:pt>
                <c:pt idx="35">
                  <c:v>1.6805555555555556</c:v>
                </c:pt>
                <c:pt idx="36">
                  <c:v>2</c:v>
                </c:pt>
                <c:pt idx="37">
                  <c:v>2.3472222222222223</c:v>
                </c:pt>
                <c:pt idx="38">
                  <c:v>2.7222222222222223</c:v>
                </c:pt>
                <c:pt idx="39">
                  <c:v>3.125</c:v>
                </c:pt>
                <c:pt idx="40">
                  <c:v>3.5555555555555554</c:v>
                </c:pt>
                <c:pt idx="41">
                  <c:v>4.013888888888889</c:v>
                </c:pt>
                <c:pt idx="42">
                  <c:v>4.5</c:v>
                </c:pt>
                <c:pt idx="43">
                  <c:v>5.013888888888889</c:v>
                </c:pt>
                <c:pt idx="44">
                  <c:v>5.555555555555555</c:v>
                </c:pt>
                <c:pt idx="45">
                  <c:v>6.125</c:v>
                </c:pt>
                <c:pt idx="46">
                  <c:v>6.722222222222222</c:v>
                </c:pt>
                <c:pt idx="47">
                  <c:v>7.347222222222222</c:v>
                </c:pt>
                <c:pt idx="48">
                  <c:v>8</c:v>
                </c:pt>
              </c:numCache>
            </c:numRef>
          </c:val>
          <c:smooth val="1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Chart_calc!$B$2:$AX$2</c:f>
              <c:numCache>
                <c:ptCount val="49"/>
                <c:pt idx="0">
                  <c:v>30</c:v>
                </c:pt>
                <c:pt idx="1">
                  <c:v>28.75</c:v>
                </c:pt>
                <c:pt idx="2">
                  <c:v>27.5</c:v>
                </c:pt>
                <c:pt idx="3">
                  <c:v>26.25</c:v>
                </c:pt>
                <c:pt idx="4">
                  <c:v>25</c:v>
                </c:pt>
                <c:pt idx="5">
                  <c:v>23.75</c:v>
                </c:pt>
                <c:pt idx="6">
                  <c:v>22.5</c:v>
                </c:pt>
                <c:pt idx="7">
                  <c:v>21.25</c:v>
                </c:pt>
                <c:pt idx="8">
                  <c:v>20</c:v>
                </c:pt>
                <c:pt idx="9">
                  <c:v>18.75</c:v>
                </c:pt>
                <c:pt idx="10">
                  <c:v>17.5</c:v>
                </c:pt>
                <c:pt idx="11">
                  <c:v>16.25</c:v>
                </c:pt>
                <c:pt idx="12">
                  <c:v>15</c:v>
                </c:pt>
                <c:pt idx="13">
                  <c:v>13.75</c:v>
                </c:pt>
                <c:pt idx="14">
                  <c:v>12.5</c:v>
                </c:pt>
                <c:pt idx="15">
                  <c:v>11.25</c:v>
                </c:pt>
                <c:pt idx="16">
                  <c:v>10</c:v>
                </c:pt>
                <c:pt idx="17">
                  <c:v>8.75</c:v>
                </c:pt>
                <c:pt idx="18">
                  <c:v>7.5</c:v>
                </c:pt>
                <c:pt idx="19">
                  <c:v>6.25</c:v>
                </c:pt>
                <c:pt idx="20">
                  <c:v>5</c:v>
                </c:pt>
                <c:pt idx="21">
                  <c:v>3.75</c:v>
                </c:pt>
                <c:pt idx="22">
                  <c:v>2.5</c:v>
                </c:pt>
                <c:pt idx="23">
                  <c:v>1.25</c:v>
                </c:pt>
                <c:pt idx="24">
                  <c:v>0</c:v>
                </c:pt>
                <c:pt idx="25">
                  <c:v>1.25</c:v>
                </c:pt>
                <c:pt idx="26">
                  <c:v>2.5</c:v>
                </c:pt>
                <c:pt idx="27">
                  <c:v>3.75</c:v>
                </c:pt>
                <c:pt idx="28">
                  <c:v>5</c:v>
                </c:pt>
                <c:pt idx="29">
                  <c:v>6.25</c:v>
                </c:pt>
                <c:pt idx="30">
                  <c:v>7.5</c:v>
                </c:pt>
                <c:pt idx="31">
                  <c:v>8.75</c:v>
                </c:pt>
                <c:pt idx="32">
                  <c:v>10</c:v>
                </c:pt>
                <c:pt idx="33">
                  <c:v>11.25</c:v>
                </c:pt>
                <c:pt idx="34">
                  <c:v>12.5</c:v>
                </c:pt>
                <c:pt idx="35">
                  <c:v>13.75</c:v>
                </c:pt>
                <c:pt idx="36">
                  <c:v>15</c:v>
                </c:pt>
                <c:pt idx="37">
                  <c:v>16.25</c:v>
                </c:pt>
                <c:pt idx="38">
                  <c:v>17.5</c:v>
                </c:pt>
                <c:pt idx="39">
                  <c:v>18.75</c:v>
                </c:pt>
                <c:pt idx="40">
                  <c:v>20</c:v>
                </c:pt>
                <c:pt idx="41">
                  <c:v>21.25</c:v>
                </c:pt>
                <c:pt idx="42">
                  <c:v>22.5</c:v>
                </c:pt>
                <c:pt idx="43">
                  <c:v>23.75</c:v>
                </c:pt>
                <c:pt idx="44">
                  <c:v>25</c:v>
                </c:pt>
                <c:pt idx="45">
                  <c:v>26.25</c:v>
                </c:pt>
                <c:pt idx="46">
                  <c:v>27.5</c:v>
                </c:pt>
                <c:pt idx="47">
                  <c:v>28.75</c:v>
                </c:pt>
                <c:pt idx="48">
                  <c:v>30</c:v>
                </c:pt>
              </c:numCache>
            </c:numRef>
          </c:cat>
          <c:val>
            <c:numRef>
              <c:f>Chart_calc!$B$6:$AX$6</c:f>
              <c:numCache>
                <c:ptCount val="49"/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Chart_calc!$B$2:$AX$2</c:f>
              <c:numCache>
                <c:ptCount val="49"/>
                <c:pt idx="0">
                  <c:v>30</c:v>
                </c:pt>
                <c:pt idx="1">
                  <c:v>28.75</c:v>
                </c:pt>
                <c:pt idx="2">
                  <c:v>27.5</c:v>
                </c:pt>
                <c:pt idx="3">
                  <c:v>26.25</c:v>
                </c:pt>
                <c:pt idx="4">
                  <c:v>25</c:v>
                </c:pt>
                <c:pt idx="5">
                  <c:v>23.75</c:v>
                </c:pt>
                <c:pt idx="6">
                  <c:v>22.5</c:v>
                </c:pt>
                <c:pt idx="7">
                  <c:v>21.25</c:v>
                </c:pt>
                <c:pt idx="8">
                  <c:v>20</c:v>
                </c:pt>
                <c:pt idx="9">
                  <c:v>18.75</c:v>
                </c:pt>
                <c:pt idx="10">
                  <c:v>17.5</c:v>
                </c:pt>
                <c:pt idx="11">
                  <c:v>16.25</c:v>
                </c:pt>
                <c:pt idx="12">
                  <c:v>15</c:v>
                </c:pt>
                <c:pt idx="13">
                  <c:v>13.75</c:v>
                </c:pt>
                <c:pt idx="14">
                  <c:v>12.5</c:v>
                </c:pt>
                <c:pt idx="15">
                  <c:v>11.25</c:v>
                </c:pt>
                <c:pt idx="16">
                  <c:v>10</c:v>
                </c:pt>
                <c:pt idx="17">
                  <c:v>8.75</c:v>
                </c:pt>
                <c:pt idx="18">
                  <c:v>7.5</c:v>
                </c:pt>
                <c:pt idx="19">
                  <c:v>6.25</c:v>
                </c:pt>
                <c:pt idx="20">
                  <c:v>5</c:v>
                </c:pt>
                <c:pt idx="21">
                  <c:v>3.75</c:v>
                </c:pt>
                <c:pt idx="22">
                  <c:v>2.5</c:v>
                </c:pt>
                <c:pt idx="23">
                  <c:v>1.25</c:v>
                </c:pt>
                <c:pt idx="24">
                  <c:v>0</c:v>
                </c:pt>
                <c:pt idx="25">
                  <c:v>1.25</c:v>
                </c:pt>
                <c:pt idx="26">
                  <c:v>2.5</c:v>
                </c:pt>
                <c:pt idx="27">
                  <c:v>3.75</c:v>
                </c:pt>
                <c:pt idx="28">
                  <c:v>5</c:v>
                </c:pt>
                <c:pt idx="29">
                  <c:v>6.25</c:v>
                </c:pt>
                <c:pt idx="30">
                  <c:v>7.5</c:v>
                </c:pt>
                <c:pt idx="31">
                  <c:v>8.75</c:v>
                </c:pt>
                <c:pt idx="32">
                  <c:v>10</c:v>
                </c:pt>
                <c:pt idx="33">
                  <c:v>11.25</c:v>
                </c:pt>
                <c:pt idx="34">
                  <c:v>12.5</c:v>
                </c:pt>
                <c:pt idx="35">
                  <c:v>13.75</c:v>
                </c:pt>
                <c:pt idx="36">
                  <c:v>15</c:v>
                </c:pt>
                <c:pt idx="37">
                  <c:v>16.25</c:v>
                </c:pt>
                <c:pt idx="38">
                  <c:v>17.5</c:v>
                </c:pt>
                <c:pt idx="39">
                  <c:v>18.75</c:v>
                </c:pt>
                <c:pt idx="40">
                  <c:v>20</c:v>
                </c:pt>
                <c:pt idx="41">
                  <c:v>21.25</c:v>
                </c:pt>
                <c:pt idx="42">
                  <c:v>22.5</c:v>
                </c:pt>
                <c:pt idx="43">
                  <c:v>23.75</c:v>
                </c:pt>
                <c:pt idx="44">
                  <c:v>25</c:v>
                </c:pt>
                <c:pt idx="45">
                  <c:v>26.25</c:v>
                </c:pt>
                <c:pt idx="46">
                  <c:v>27.5</c:v>
                </c:pt>
                <c:pt idx="47">
                  <c:v>28.75</c:v>
                </c:pt>
                <c:pt idx="48">
                  <c:v>30</c:v>
                </c:pt>
              </c:numCache>
            </c:numRef>
          </c:cat>
          <c:val>
            <c:numRef>
              <c:f>Chart_calc!$B$12:$AX$12</c:f>
              <c:numCache>
                <c:ptCount val="49"/>
                <c:pt idx="0">
                  <c:v>8</c:v>
                </c:pt>
                <c:pt idx="1">
                  <c:v>7.347222222222222</c:v>
                </c:pt>
                <c:pt idx="2">
                  <c:v>6.722222222222222</c:v>
                </c:pt>
                <c:pt idx="3">
                  <c:v>6.125</c:v>
                </c:pt>
                <c:pt idx="4">
                  <c:v>5.555555555555555</c:v>
                </c:pt>
                <c:pt idx="5">
                  <c:v>5.013888888888889</c:v>
                </c:pt>
                <c:pt idx="6">
                  <c:v>4.5</c:v>
                </c:pt>
                <c:pt idx="7">
                  <c:v>4.013888888888889</c:v>
                </c:pt>
                <c:pt idx="8">
                  <c:v>3.5555555555555554</c:v>
                </c:pt>
                <c:pt idx="9">
                  <c:v>3.125</c:v>
                </c:pt>
                <c:pt idx="10">
                  <c:v>2.7222222222222223</c:v>
                </c:pt>
                <c:pt idx="11">
                  <c:v>2.3472222222222223</c:v>
                </c:pt>
                <c:pt idx="12">
                  <c:v>2</c:v>
                </c:pt>
                <c:pt idx="13">
                  <c:v>3.8380672089468924</c:v>
                </c:pt>
                <c:pt idx="14">
                  <c:v>6.045970189951717</c:v>
                </c:pt>
                <c:pt idx="15">
                  <c:v>8.253873170956545</c:v>
                </c:pt>
                <c:pt idx="16">
                  <c:v>10.461776151961374</c:v>
                </c:pt>
                <c:pt idx="17">
                  <c:v>12.669679132966204</c:v>
                </c:pt>
                <c:pt idx="18">
                  <c:v>14.877582113971032</c:v>
                </c:pt>
                <c:pt idx="19">
                  <c:v>17.08548509497586</c:v>
                </c:pt>
                <c:pt idx="20">
                  <c:v>19.293388075980687</c:v>
                </c:pt>
                <c:pt idx="21">
                  <c:v>21.501291056985515</c:v>
                </c:pt>
                <c:pt idx="22">
                  <c:v>23.709194037990343</c:v>
                </c:pt>
                <c:pt idx="23">
                  <c:v>25.91709701899517</c:v>
                </c:pt>
                <c:pt idx="24">
                  <c:v>28.125</c:v>
                </c:pt>
                <c:pt idx="25">
                  <c:v>25.91709701899517</c:v>
                </c:pt>
                <c:pt idx="26">
                  <c:v>23.709194037990343</c:v>
                </c:pt>
                <c:pt idx="27">
                  <c:v>21.501291056985515</c:v>
                </c:pt>
                <c:pt idx="28">
                  <c:v>19.293388075980687</c:v>
                </c:pt>
                <c:pt idx="29">
                  <c:v>17.08548509497586</c:v>
                </c:pt>
                <c:pt idx="30">
                  <c:v>14.877582113971032</c:v>
                </c:pt>
                <c:pt idx="31">
                  <c:v>12.669679132966204</c:v>
                </c:pt>
                <c:pt idx="32">
                  <c:v>10.461776151961374</c:v>
                </c:pt>
                <c:pt idx="33">
                  <c:v>8.253873170956545</c:v>
                </c:pt>
                <c:pt idx="34">
                  <c:v>6.045970189951717</c:v>
                </c:pt>
                <c:pt idx="35">
                  <c:v>3.8380672089468924</c:v>
                </c:pt>
                <c:pt idx="36">
                  <c:v>2</c:v>
                </c:pt>
                <c:pt idx="37">
                  <c:v>2.3472222222222223</c:v>
                </c:pt>
                <c:pt idx="38">
                  <c:v>2.7222222222222223</c:v>
                </c:pt>
                <c:pt idx="39">
                  <c:v>3.125</c:v>
                </c:pt>
                <c:pt idx="40">
                  <c:v>3.5555555555555554</c:v>
                </c:pt>
                <c:pt idx="41">
                  <c:v>4.013888888888889</c:v>
                </c:pt>
                <c:pt idx="42">
                  <c:v>4.5</c:v>
                </c:pt>
                <c:pt idx="43">
                  <c:v>5.013888888888889</c:v>
                </c:pt>
                <c:pt idx="44">
                  <c:v>5.555555555555555</c:v>
                </c:pt>
                <c:pt idx="45">
                  <c:v>6.125</c:v>
                </c:pt>
                <c:pt idx="46">
                  <c:v>6.722222222222222</c:v>
                </c:pt>
                <c:pt idx="47">
                  <c:v>7.347222222222222</c:v>
                </c:pt>
                <c:pt idx="48">
                  <c:v>8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Chart_calc!$B$2:$AX$2</c:f>
              <c:numCache>
                <c:ptCount val="49"/>
                <c:pt idx="0">
                  <c:v>30</c:v>
                </c:pt>
                <c:pt idx="1">
                  <c:v>28.75</c:v>
                </c:pt>
                <c:pt idx="2">
                  <c:v>27.5</c:v>
                </c:pt>
                <c:pt idx="3">
                  <c:v>26.25</c:v>
                </c:pt>
                <c:pt idx="4">
                  <c:v>25</c:v>
                </c:pt>
                <c:pt idx="5">
                  <c:v>23.75</c:v>
                </c:pt>
                <c:pt idx="6">
                  <c:v>22.5</c:v>
                </c:pt>
                <c:pt idx="7">
                  <c:v>21.25</c:v>
                </c:pt>
                <c:pt idx="8">
                  <c:v>20</c:v>
                </c:pt>
                <c:pt idx="9">
                  <c:v>18.75</c:v>
                </c:pt>
                <c:pt idx="10">
                  <c:v>17.5</c:v>
                </c:pt>
                <c:pt idx="11">
                  <c:v>16.25</c:v>
                </c:pt>
                <c:pt idx="12">
                  <c:v>15</c:v>
                </c:pt>
                <c:pt idx="13">
                  <c:v>13.75</c:v>
                </c:pt>
                <c:pt idx="14">
                  <c:v>12.5</c:v>
                </c:pt>
                <c:pt idx="15">
                  <c:v>11.25</c:v>
                </c:pt>
                <c:pt idx="16">
                  <c:v>10</c:v>
                </c:pt>
                <c:pt idx="17">
                  <c:v>8.75</c:v>
                </c:pt>
                <c:pt idx="18">
                  <c:v>7.5</c:v>
                </c:pt>
                <c:pt idx="19">
                  <c:v>6.25</c:v>
                </c:pt>
                <c:pt idx="20">
                  <c:v>5</c:v>
                </c:pt>
                <c:pt idx="21">
                  <c:v>3.75</c:v>
                </c:pt>
                <c:pt idx="22">
                  <c:v>2.5</c:v>
                </c:pt>
                <c:pt idx="23">
                  <c:v>1.25</c:v>
                </c:pt>
                <c:pt idx="24">
                  <c:v>0</c:v>
                </c:pt>
                <c:pt idx="25">
                  <c:v>1.25</c:v>
                </c:pt>
                <c:pt idx="26">
                  <c:v>2.5</c:v>
                </c:pt>
                <c:pt idx="27">
                  <c:v>3.75</c:v>
                </c:pt>
                <c:pt idx="28">
                  <c:v>5</c:v>
                </c:pt>
                <c:pt idx="29">
                  <c:v>6.25</c:v>
                </c:pt>
                <c:pt idx="30">
                  <c:v>7.5</c:v>
                </c:pt>
                <c:pt idx="31">
                  <c:v>8.75</c:v>
                </c:pt>
                <c:pt idx="32">
                  <c:v>10</c:v>
                </c:pt>
                <c:pt idx="33">
                  <c:v>11.25</c:v>
                </c:pt>
                <c:pt idx="34">
                  <c:v>12.5</c:v>
                </c:pt>
                <c:pt idx="35">
                  <c:v>13.75</c:v>
                </c:pt>
                <c:pt idx="36">
                  <c:v>15</c:v>
                </c:pt>
                <c:pt idx="37">
                  <c:v>16.25</c:v>
                </c:pt>
                <c:pt idx="38">
                  <c:v>17.5</c:v>
                </c:pt>
                <c:pt idx="39">
                  <c:v>18.75</c:v>
                </c:pt>
                <c:pt idx="40">
                  <c:v>20</c:v>
                </c:pt>
                <c:pt idx="41">
                  <c:v>21.25</c:v>
                </c:pt>
                <c:pt idx="42">
                  <c:v>22.5</c:v>
                </c:pt>
                <c:pt idx="43">
                  <c:v>23.75</c:v>
                </c:pt>
                <c:pt idx="44">
                  <c:v>25</c:v>
                </c:pt>
                <c:pt idx="45">
                  <c:v>26.25</c:v>
                </c:pt>
                <c:pt idx="46">
                  <c:v>27.5</c:v>
                </c:pt>
                <c:pt idx="47">
                  <c:v>28.75</c:v>
                </c:pt>
                <c:pt idx="48">
                  <c:v>30</c:v>
                </c:pt>
              </c:numCache>
            </c:numRef>
          </c:cat>
          <c:val>
            <c:numRef>
              <c:f>Chart_calc!$B$13:$AX$13</c:f>
              <c:numCache>
                <c:ptCount val="49"/>
                <c:pt idx="0">
                  <c:v>8</c:v>
                </c:pt>
                <c:pt idx="1">
                  <c:v>7.347222222222222</c:v>
                </c:pt>
                <c:pt idx="2">
                  <c:v>6.722222222222222</c:v>
                </c:pt>
                <c:pt idx="3">
                  <c:v>6.125</c:v>
                </c:pt>
                <c:pt idx="4">
                  <c:v>5.6760465918495235</c:v>
                </c:pt>
                <c:pt idx="5">
                  <c:v>6.798494262257048</c:v>
                </c:pt>
                <c:pt idx="6">
                  <c:v>7.920941932664572</c:v>
                </c:pt>
                <c:pt idx="7">
                  <c:v>9.043389603072097</c:v>
                </c:pt>
                <c:pt idx="8">
                  <c:v>10.165837273479617</c:v>
                </c:pt>
                <c:pt idx="9">
                  <c:v>11.288284943887142</c:v>
                </c:pt>
                <c:pt idx="10">
                  <c:v>12.410732614294666</c:v>
                </c:pt>
                <c:pt idx="11">
                  <c:v>13.53318028470219</c:v>
                </c:pt>
                <c:pt idx="12">
                  <c:v>14.655627955109715</c:v>
                </c:pt>
                <c:pt idx="13">
                  <c:v>15.778075625517237</c:v>
                </c:pt>
                <c:pt idx="14">
                  <c:v>16.900523295924764</c:v>
                </c:pt>
                <c:pt idx="15">
                  <c:v>18.022970966332288</c:v>
                </c:pt>
                <c:pt idx="16">
                  <c:v>19.14541863673981</c:v>
                </c:pt>
                <c:pt idx="17">
                  <c:v>20.267866307147333</c:v>
                </c:pt>
                <c:pt idx="18">
                  <c:v>21.390313977554857</c:v>
                </c:pt>
                <c:pt idx="19">
                  <c:v>22.51276164796238</c:v>
                </c:pt>
                <c:pt idx="20">
                  <c:v>23.635209318369903</c:v>
                </c:pt>
                <c:pt idx="21">
                  <c:v>24.757656988777427</c:v>
                </c:pt>
                <c:pt idx="22">
                  <c:v>25.88010465918495</c:v>
                </c:pt>
                <c:pt idx="23">
                  <c:v>27.002552329592476</c:v>
                </c:pt>
                <c:pt idx="24">
                  <c:v>28.125</c:v>
                </c:pt>
                <c:pt idx="25">
                  <c:v>27.002552329592476</c:v>
                </c:pt>
                <c:pt idx="26">
                  <c:v>25.88010465918495</c:v>
                </c:pt>
                <c:pt idx="27">
                  <c:v>24.757656988777427</c:v>
                </c:pt>
                <c:pt idx="28">
                  <c:v>23.635209318369903</c:v>
                </c:pt>
                <c:pt idx="29">
                  <c:v>22.51276164796238</c:v>
                </c:pt>
                <c:pt idx="30">
                  <c:v>21.390313977554857</c:v>
                </c:pt>
                <c:pt idx="31">
                  <c:v>20.267866307147333</c:v>
                </c:pt>
                <c:pt idx="32">
                  <c:v>19.14541863673981</c:v>
                </c:pt>
                <c:pt idx="33">
                  <c:v>18.022970966332288</c:v>
                </c:pt>
                <c:pt idx="34">
                  <c:v>16.900523295924764</c:v>
                </c:pt>
                <c:pt idx="35">
                  <c:v>15.778075625517237</c:v>
                </c:pt>
                <c:pt idx="36">
                  <c:v>14.655627955109715</c:v>
                </c:pt>
                <c:pt idx="37">
                  <c:v>13.53318028470219</c:v>
                </c:pt>
                <c:pt idx="38">
                  <c:v>12.410732614294666</c:v>
                </c:pt>
                <c:pt idx="39">
                  <c:v>11.288284943887142</c:v>
                </c:pt>
                <c:pt idx="40">
                  <c:v>10.165837273479617</c:v>
                </c:pt>
                <c:pt idx="41">
                  <c:v>9.043389603072097</c:v>
                </c:pt>
                <c:pt idx="42">
                  <c:v>7.920941932664572</c:v>
                </c:pt>
                <c:pt idx="43">
                  <c:v>6.798494262257048</c:v>
                </c:pt>
                <c:pt idx="44">
                  <c:v>5.6760465918495235</c:v>
                </c:pt>
                <c:pt idx="45">
                  <c:v>6.125</c:v>
                </c:pt>
                <c:pt idx="46">
                  <c:v>6.722222222222222</c:v>
                </c:pt>
                <c:pt idx="47">
                  <c:v>7.347222222222222</c:v>
                </c:pt>
                <c:pt idx="48">
                  <c:v>8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Chart_calc!$B$2:$AX$2</c:f>
              <c:numCache>
                <c:ptCount val="49"/>
                <c:pt idx="0">
                  <c:v>30</c:v>
                </c:pt>
                <c:pt idx="1">
                  <c:v>28.75</c:v>
                </c:pt>
                <c:pt idx="2">
                  <c:v>27.5</c:v>
                </c:pt>
                <c:pt idx="3">
                  <c:v>26.25</c:v>
                </c:pt>
                <c:pt idx="4">
                  <c:v>25</c:v>
                </c:pt>
                <c:pt idx="5">
                  <c:v>23.75</c:v>
                </c:pt>
                <c:pt idx="6">
                  <c:v>22.5</c:v>
                </c:pt>
                <c:pt idx="7">
                  <c:v>21.25</c:v>
                </c:pt>
                <c:pt idx="8">
                  <c:v>20</c:v>
                </c:pt>
                <c:pt idx="9">
                  <c:v>18.75</c:v>
                </c:pt>
                <c:pt idx="10">
                  <c:v>17.5</c:v>
                </c:pt>
                <c:pt idx="11">
                  <c:v>16.25</c:v>
                </c:pt>
                <c:pt idx="12">
                  <c:v>15</c:v>
                </c:pt>
                <c:pt idx="13">
                  <c:v>13.75</c:v>
                </c:pt>
                <c:pt idx="14">
                  <c:v>12.5</c:v>
                </c:pt>
                <c:pt idx="15">
                  <c:v>11.25</c:v>
                </c:pt>
                <c:pt idx="16">
                  <c:v>10</c:v>
                </c:pt>
                <c:pt idx="17">
                  <c:v>8.75</c:v>
                </c:pt>
                <c:pt idx="18">
                  <c:v>7.5</c:v>
                </c:pt>
                <c:pt idx="19">
                  <c:v>6.25</c:v>
                </c:pt>
                <c:pt idx="20">
                  <c:v>5</c:v>
                </c:pt>
                <c:pt idx="21">
                  <c:v>3.75</c:v>
                </c:pt>
                <c:pt idx="22">
                  <c:v>2.5</c:v>
                </c:pt>
                <c:pt idx="23">
                  <c:v>1.25</c:v>
                </c:pt>
                <c:pt idx="24">
                  <c:v>0</c:v>
                </c:pt>
                <c:pt idx="25">
                  <c:v>1.25</c:v>
                </c:pt>
                <c:pt idx="26">
                  <c:v>2.5</c:v>
                </c:pt>
                <c:pt idx="27">
                  <c:v>3.75</c:v>
                </c:pt>
                <c:pt idx="28">
                  <c:v>5</c:v>
                </c:pt>
                <c:pt idx="29">
                  <c:v>6.25</c:v>
                </c:pt>
                <c:pt idx="30">
                  <c:v>7.5</c:v>
                </c:pt>
                <c:pt idx="31">
                  <c:v>8.75</c:v>
                </c:pt>
                <c:pt idx="32">
                  <c:v>10</c:v>
                </c:pt>
                <c:pt idx="33">
                  <c:v>11.25</c:v>
                </c:pt>
                <c:pt idx="34">
                  <c:v>12.5</c:v>
                </c:pt>
                <c:pt idx="35">
                  <c:v>13.75</c:v>
                </c:pt>
                <c:pt idx="36">
                  <c:v>15</c:v>
                </c:pt>
                <c:pt idx="37">
                  <c:v>16.25</c:v>
                </c:pt>
                <c:pt idx="38">
                  <c:v>17.5</c:v>
                </c:pt>
                <c:pt idx="39">
                  <c:v>18.75</c:v>
                </c:pt>
                <c:pt idx="40">
                  <c:v>20</c:v>
                </c:pt>
                <c:pt idx="41">
                  <c:v>21.25</c:v>
                </c:pt>
                <c:pt idx="42">
                  <c:v>22.5</c:v>
                </c:pt>
                <c:pt idx="43">
                  <c:v>23.75</c:v>
                </c:pt>
                <c:pt idx="44">
                  <c:v>25</c:v>
                </c:pt>
                <c:pt idx="45">
                  <c:v>26.25</c:v>
                </c:pt>
                <c:pt idx="46">
                  <c:v>27.5</c:v>
                </c:pt>
                <c:pt idx="47">
                  <c:v>28.75</c:v>
                </c:pt>
                <c:pt idx="48">
                  <c:v>30</c:v>
                </c:pt>
              </c:numCache>
            </c:numRef>
          </c:cat>
          <c:val>
            <c:numRef>
              <c:f>Chart_calc!$B$14:$AX$14</c:f>
              <c:numCache>
                <c:ptCount val="49"/>
                <c:pt idx="0">
                  <c:v>8</c:v>
                </c:pt>
                <c:pt idx="1">
                  <c:v>8.038290129429438</c:v>
                </c:pt>
                <c:pt idx="2">
                  <c:v>8.911625341193375</c:v>
                </c:pt>
                <c:pt idx="3">
                  <c:v>9.784960552957315</c:v>
                </c:pt>
                <c:pt idx="4">
                  <c:v>10.658295764721252</c:v>
                </c:pt>
                <c:pt idx="5">
                  <c:v>11.53163097648519</c:v>
                </c:pt>
                <c:pt idx="6">
                  <c:v>12.404966188249126</c:v>
                </c:pt>
                <c:pt idx="7">
                  <c:v>13.278301400013063</c:v>
                </c:pt>
                <c:pt idx="8">
                  <c:v>14.151636611777</c:v>
                </c:pt>
                <c:pt idx="9">
                  <c:v>15.024971823540938</c:v>
                </c:pt>
                <c:pt idx="10">
                  <c:v>15.898307035304876</c:v>
                </c:pt>
                <c:pt idx="11">
                  <c:v>16.77164224706881</c:v>
                </c:pt>
                <c:pt idx="12">
                  <c:v>17.64497745883275</c:v>
                </c:pt>
                <c:pt idx="13">
                  <c:v>18.518312670596686</c:v>
                </c:pt>
                <c:pt idx="14">
                  <c:v>19.391647882360626</c:v>
                </c:pt>
                <c:pt idx="15">
                  <c:v>20.264983094124563</c:v>
                </c:pt>
                <c:pt idx="16">
                  <c:v>21.1383183058885</c:v>
                </c:pt>
                <c:pt idx="17">
                  <c:v>22.011653517652437</c:v>
                </c:pt>
                <c:pt idx="18">
                  <c:v>22.884988729416374</c:v>
                </c:pt>
                <c:pt idx="19">
                  <c:v>23.758323941180315</c:v>
                </c:pt>
                <c:pt idx="20">
                  <c:v>24.631659152944252</c:v>
                </c:pt>
                <c:pt idx="21">
                  <c:v>25.50499436470819</c:v>
                </c:pt>
                <c:pt idx="22">
                  <c:v>26.378329576472126</c:v>
                </c:pt>
                <c:pt idx="23">
                  <c:v>27.251664788236063</c:v>
                </c:pt>
                <c:pt idx="24">
                  <c:v>28.125</c:v>
                </c:pt>
                <c:pt idx="25">
                  <c:v>27.251664788236063</c:v>
                </c:pt>
                <c:pt idx="26">
                  <c:v>26.378329576472126</c:v>
                </c:pt>
                <c:pt idx="27">
                  <c:v>25.50499436470819</c:v>
                </c:pt>
                <c:pt idx="28">
                  <c:v>24.631659152944252</c:v>
                </c:pt>
                <c:pt idx="29">
                  <c:v>23.758323941180315</c:v>
                </c:pt>
                <c:pt idx="30">
                  <c:v>22.884988729416374</c:v>
                </c:pt>
                <c:pt idx="31">
                  <c:v>22.011653517652437</c:v>
                </c:pt>
                <c:pt idx="32">
                  <c:v>21.1383183058885</c:v>
                </c:pt>
                <c:pt idx="33">
                  <c:v>20.264983094124563</c:v>
                </c:pt>
                <c:pt idx="34">
                  <c:v>19.391647882360626</c:v>
                </c:pt>
                <c:pt idx="35">
                  <c:v>18.518312670596686</c:v>
                </c:pt>
                <c:pt idx="36">
                  <c:v>17.64497745883275</c:v>
                </c:pt>
                <c:pt idx="37">
                  <c:v>16.77164224706881</c:v>
                </c:pt>
                <c:pt idx="38">
                  <c:v>15.898307035304876</c:v>
                </c:pt>
                <c:pt idx="39">
                  <c:v>15.024971823540938</c:v>
                </c:pt>
                <c:pt idx="40">
                  <c:v>14.151636611777</c:v>
                </c:pt>
                <c:pt idx="41">
                  <c:v>13.278301400013063</c:v>
                </c:pt>
                <c:pt idx="42">
                  <c:v>12.404966188249126</c:v>
                </c:pt>
                <c:pt idx="43">
                  <c:v>11.53163097648519</c:v>
                </c:pt>
                <c:pt idx="44">
                  <c:v>10.658295764721252</c:v>
                </c:pt>
                <c:pt idx="45">
                  <c:v>9.784960552957315</c:v>
                </c:pt>
                <c:pt idx="46">
                  <c:v>8.911625341193375</c:v>
                </c:pt>
                <c:pt idx="47">
                  <c:v>8.038290129429438</c:v>
                </c:pt>
                <c:pt idx="48">
                  <c:v>8</c:v>
                </c:pt>
              </c:numCache>
            </c:numRef>
          </c:val>
          <c:smooth val="0"/>
        </c:ser>
        <c:ser>
          <c:idx val="0"/>
          <c:order val="5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Chart_calc!$B$2:$AX$2</c:f>
              <c:numCache>
                <c:ptCount val="49"/>
                <c:pt idx="0">
                  <c:v>30</c:v>
                </c:pt>
                <c:pt idx="1">
                  <c:v>28.75</c:v>
                </c:pt>
                <c:pt idx="2">
                  <c:v>27.5</c:v>
                </c:pt>
                <c:pt idx="3">
                  <c:v>26.25</c:v>
                </c:pt>
                <c:pt idx="4">
                  <c:v>25</c:v>
                </c:pt>
                <c:pt idx="5">
                  <c:v>23.75</c:v>
                </c:pt>
                <c:pt idx="6">
                  <c:v>22.5</c:v>
                </c:pt>
                <c:pt idx="7">
                  <c:v>21.25</c:v>
                </c:pt>
                <c:pt idx="8">
                  <c:v>20</c:v>
                </c:pt>
                <c:pt idx="9">
                  <c:v>18.75</c:v>
                </c:pt>
                <c:pt idx="10">
                  <c:v>17.5</c:v>
                </c:pt>
                <c:pt idx="11">
                  <c:v>16.25</c:v>
                </c:pt>
                <c:pt idx="12">
                  <c:v>15</c:v>
                </c:pt>
                <c:pt idx="13">
                  <c:v>13.75</c:v>
                </c:pt>
                <c:pt idx="14">
                  <c:v>12.5</c:v>
                </c:pt>
                <c:pt idx="15">
                  <c:v>11.25</c:v>
                </c:pt>
                <c:pt idx="16">
                  <c:v>10</c:v>
                </c:pt>
                <c:pt idx="17">
                  <c:v>8.75</c:v>
                </c:pt>
                <c:pt idx="18">
                  <c:v>7.5</c:v>
                </c:pt>
                <c:pt idx="19">
                  <c:v>6.25</c:v>
                </c:pt>
                <c:pt idx="20">
                  <c:v>5</c:v>
                </c:pt>
                <c:pt idx="21">
                  <c:v>3.75</c:v>
                </c:pt>
                <c:pt idx="22">
                  <c:v>2.5</c:v>
                </c:pt>
                <c:pt idx="23">
                  <c:v>1.25</c:v>
                </c:pt>
                <c:pt idx="24">
                  <c:v>0</c:v>
                </c:pt>
                <c:pt idx="25">
                  <c:v>1.25</c:v>
                </c:pt>
                <c:pt idx="26">
                  <c:v>2.5</c:v>
                </c:pt>
                <c:pt idx="27">
                  <c:v>3.75</c:v>
                </c:pt>
                <c:pt idx="28">
                  <c:v>5</c:v>
                </c:pt>
                <c:pt idx="29">
                  <c:v>6.25</c:v>
                </c:pt>
                <c:pt idx="30">
                  <c:v>7.5</c:v>
                </c:pt>
                <c:pt idx="31">
                  <c:v>8.75</c:v>
                </c:pt>
                <c:pt idx="32">
                  <c:v>10</c:v>
                </c:pt>
                <c:pt idx="33">
                  <c:v>11.25</c:v>
                </c:pt>
                <c:pt idx="34">
                  <c:v>12.5</c:v>
                </c:pt>
                <c:pt idx="35">
                  <c:v>13.75</c:v>
                </c:pt>
                <c:pt idx="36">
                  <c:v>15</c:v>
                </c:pt>
                <c:pt idx="37">
                  <c:v>16.25</c:v>
                </c:pt>
                <c:pt idx="38">
                  <c:v>17.5</c:v>
                </c:pt>
                <c:pt idx="39">
                  <c:v>18.75</c:v>
                </c:pt>
                <c:pt idx="40">
                  <c:v>20</c:v>
                </c:pt>
                <c:pt idx="41">
                  <c:v>21.25</c:v>
                </c:pt>
                <c:pt idx="42">
                  <c:v>22.5</c:v>
                </c:pt>
                <c:pt idx="43">
                  <c:v>23.75</c:v>
                </c:pt>
                <c:pt idx="44">
                  <c:v>25</c:v>
                </c:pt>
                <c:pt idx="45">
                  <c:v>26.25</c:v>
                </c:pt>
                <c:pt idx="46">
                  <c:v>27.5</c:v>
                </c:pt>
                <c:pt idx="47">
                  <c:v>28.75</c:v>
                </c:pt>
                <c:pt idx="48">
                  <c:v>30</c:v>
                </c:pt>
              </c:numCache>
            </c:numRef>
          </c:cat>
          <c:val>
            <c:numRef>
              <c:f>Chart_calc!$B$5:$AX$5</c:f>
              <c:numCache>
                <c:ptCount val="49"/>
                <c:pt idx="0">
                  <c:v>8</c:v>
                </c:pt>
                <c:pt idx="1">
                  <c:v>7.347222222222222</c:v>
                </c:pt>
                <c:pt idx="2">
                  <c:v>6.722222222222222</c:v>
                </c:pt>
                <c:pt idx="3">
                  <c:v>6.125</c:v>
                </c:pt>
                <c:pt idx="4">
                  <c:v>5.555555555555555</c:v>
                </c:pt>
                <c:pt idx="5">
                  <c:v>5.013888888888889</c:v>
                </c:pt>
                <c:pt idx="6">
                  <c:v>4.5</c:v>
                </c:pt>
                <c:pt idx="7">
                  <c:v>4.013888888888889</c:v>
                </c:pt>
                <c:pt idx="8">
                  <c:v>3.5555555555555554</c:v>
                </c:pt>
                <c:pt idx="9">
                  <c:v>3.125</c:v>
                </c:pt>
                <c:pt idx="10">
                  <c:v>2.7222222222222223</c:v>
                </c:pt>
                <c:pt idx="11">
                  <c:v>2.3472222222222223</c:v>
                </c:pt>
                <c:pt idx="12">
                  <c:v>2</c:v>
                </c:pt>
                <c:pt idx="13">
                  <c:v>1.6805555555555556</c:v>
                </c:pt>
                <c:pt idx="14">
                  <c:v>1.3888888888888888</c:v>
                </c:pt>
                <c:pt idx="15">
                  <c:v>1.125</c:v>
                </c:pt>
                <c:pt idx="16">
                  <c:v>0.8888888888888888</c:v>
                </c:pt>
                <c:pt idx="17">
                  <c:v>0.6805555555555556</c:v>
                </c:pt>
                <c:pt idx="18">
                  <c:v>0.5</c:v>
                </c:pt>
                <c:pt idx="19">
                  <c:v>0.3472222222222222</c:v>
                </c:pt>
                <c:pt idx="20">
                  <c:v>0.2222222222222222</c:v>
                </c:pt>
                <c:pt idx="21">
                  <c:v>0.125</c:v>
                </c:pt>
                <c:pt idx="22">
                  <c:v>0.05555555555555555</c:v>
                </c:pt>
                <c:pt idx="23">
                  <c:v>0.013888888888888888</c:v>
                </c:pt>
                <c:pt idx="24">
                  <c:v>0</c:v>
                </c:pt>
                <c:pt idx="25">
                  <c:v>0.013888888888888888</c:v>
                </c:pt>
                <c:pt idx="26">
                  <c:v>0.05555555555555555</c:v>
                </c:pt>
                <c:pt idx="27">
                  <c:v>0.125</c:v>
                </c:pt>
                <c:pt idx="28">
                  <c:v>0.2222222222222222</c:v>
                </c:pt>
                <c:pt idx="29">
                  <c:v>0.3472222222222222</c:v>
                </c:pt>
                <c:pt idx="30">
                  <c:v>0.5</c:v>
                </c:pt>
                <c:pt idx="31">
                  <c:v>0.6805555555555556</c:v>
                </c:pt>
                <c:pt idx="32">
                  <c:v>0.8888888888888888</c:v>
                </c:pt>
                <c:pt idx="33">
                  <c:v>1.125</c:v>
                </c:pt>
                <c:pt idx="34">
                  <c:v>1.3888888888888888</c:v>
                </c:pt>
                <c:pt idx="35">
                  <c:v>1.6805555555555556</c:v>
                </c:pt>
                <c:pt idx="36">
                  <c:v>2</c:v>
                </c:pt>
                <c:pt idx="37">
                  <c:v>2.3472222222222223</c:v>
                </c:pt>
                <c:pt idx="38">
                  <c:v>2.7222222222222223</c:v>
                </c:pt>
                <c:pt idx="39">
                  <c:v>3.125</c:v>
                </c:pt>
                <c:pt idx="40">
                  <c:v>3.5555555555555554</c:v>
                </c:pt>
                <c:pt idx="41">
                  <c:v>4.013888888888889</c:v>
                </c:pt>
                <c:pt idx="42">
                  <c:v>4.5</c:v>
                </c:pt>
                <c:pt idx="43">
                  <c:v>5.013888888888889</c:v>
                </c:pt>
                <c:pt idx="44">
                  <c:v>5.555555555555555</c:v>
                </c:pt>
                <c:pt idx="45">
                  <c:v>6.125</c:v>
                </c:pt>
                <c:pt idx="46">
                  <c:v>6.722222222222222</c:v>
                </c:pt>
                <c:pt idx="47">
                  <c:v>7.347222222222222</c:v>
                </c:pt>
                <c:pt idx="48">
                  <c:v>8</c:v>
                </c:pt>
              </c:numCache>
            </c:numRef>
          </c:val>
          <c:smooth val="0"/>
        </c:ser>
        <c:ser>
          <c:idx val="3"/>
          <c:order val="6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Chart_calc!$B$2:$AX$2</c:f>
              <c:numCache>
                <c:ptCount val="49"/>
                <c:pt idx="0">
                  <c:v>30</c:v>
                </c:pt>
                <c:pt idx="1">
                  <c:v>28.75</c:v>
                </c:pt>
                <c:pt idx="2">
                  <c:v>27.5</c:v>
                </c:pt>
                <c:pt idx="3">
                  <c:v>26.25</c:v>
                </c:pt>
                <c:pt idx="4">
                  <c:v>25</c:v>
                </c:pt>
                <c:pt idx="5">
                  <c:v>23.75</c:v>
                </c:pt>
                <c:pt idx="6">
                  <c:v>22.5</c:v>
                </c:pt>
                <c:pt idx="7">
                  <c:v>21.25</c:v>
                </c:pt>
                <c:pt idx="8">
                  <c:v>20</c:v>
                </c:pt>
                <c:pt idx="9">
                  <c:v>18.75</c:v>
                </c:pt>
                <c:pt idx="10">
                  <c:v>17.5</c:v>
                </c:pt>
                <c:pt idx="11">
                  <c:v>16.25</c:v>
                </c:pt>
                <c:pt idx="12">
                  <c:v>15</c:v>
                </c:pt>
                <c:pt idx="13">
                  <c:v>13.75</c:v>
                </c:pt>
                <c:pt idx="14">
                  <c:v>12.5</c:v>
                </c:pt>
                <c:pt idx="15">
                  <c:v>11.25</c:v>
                </c:pt>
                <c:pt idx="16">
                  <c:v>10</c:v>
                </c:pt>
                <c:pt idx="17">
                  <c:v>8.75</c:v>
                </c:pt>
                <c:pt idx="18">
                  <c:v>7.5</c:v>
                </c:pt>
                <c:pt idx="19">
                  <c:v>6.25</c:v>
                </c:pt>
                <c:pt idx="20">
                  <c:v>5</c:v>
                </c:pt>
                <c:pt idx="21">
                  <c:v>3.75</c:v>
                </c:pt>
                <c:pt idx="22">
                  <c:v>2.5</c:v>
                </c:pt>
                <c:pt idx="23">
                  <c:v>1.25</c:v>
                </c:pt>
                <c:pt idx="24">
                  <c:v>0</c:v>
                </c:pt>
                <c:pt idx="25">
                  <c:v>1.25</c:v>
                </c:pt>
                <c:pt idx="26">
                  <c:v>2.5</c:v>
                </c:pt>
                <c:pt idx="27">
                  <c:v>3.75</c:v>
                </c:pt>
                <c:pt idx="28">
                  <c:v>5</c:v>
                </c:pt>
                <c:pt idx="29">
                  <c:v>6.25</c:v>
                </c:pt>
                <c:pt idx="30">
                  <c:v>7.5</c:v>
                </c:pt>
                <c:pt idx="31">
                  <c:v>8.75</c:v>
                </c:pt>
                <c:pt idx="32">
                  <c:v>10</c:v>
                </c:pt>
                <c:pt idx="33">
                  <c:v>11.25</c:v>
                </c:pt>
                <c:pt idx="34">
                  <c:v>12.5</c:v>
                </c:pt>
                <c:pt idx="35">
                  <c:v>13.75</c:v>
                </c:pt>
                <c:pt idx="36">
                  <c:v>15</c:v>
                </c:pt>
                <c:pt idx="37">
                  <c:v>16.25</c:v>
                </c:pt>
                <c:pt idx="38">
                  <c:v>17.5</c:v>
                </c:pt>
                <c:pt idx="39">
                  <c:v>18.75</c:v>
                </c:pt>
                <c:pt idx="40">
                  <c:v>20</c:v>
                </c:pt>
                <c:pt idx="41">
                  <c:v>21.25</c:v>
                </c:pt>
                <c:pt idx="42">
                  <c:v>22.5</c:v>
                </c:pt>
                <c:pt idx="43">
                  <c:v>23.75</c:v>
                </c:pt>
                <c:pt idx="44">
                  <c:v>25</c:v>
                </c:pt>
                <c:pt idx="45">
                  <c:v>26.25</c:v>
                </c:pt>
                <c:pt idx="46">
                  <c:v>27.5</c:v>
                </c:pt>
                <c:pt idx="47">
                  <c:v>28.75</c:v>
                </c:pt>
                <c:pt idx="48">
                  <c:v>30</c:v>
                </c:pt>
              </c:numCache>
            </c:numRef>
          </c:cat>
          <c:val>
            <c:numRef>
              <c:f>Chart_calc!$B$15:$AX$15</c:f>
              <c:numCache>
                <c:ptCount val="49"/>
                <c:pt idx="0">
                  <c:v>10.122385200199993</c:v>
                </c:pt>
                <c:pt idx="1">
                  <c:v>10.872494150191663</c:v>
                </c:pt>
                <c:pt idx="2">
                  <c:v>11.62260310018333</c:v>
                </c:pt>
                <c:pt idx="3">
                  <c:v>12.372712050174995</c:v>
                </c:pt>
                <c:pt idx="4">
                  <c:v>13.122821000166663</c:v>
                </c:pt>
                <c:pt idx="5">
                  <c:v>13.87292995015833</c:v>
                </c:pt>
                <c:pt idx="6">
                  <c:v>14.623038900149997</c:v>
                </c:pt>
                <c:pt idx="7">
                  <c:v>15.373147850141663</c:v>
                </c:pt>
                <c:pt idx="8">
                  <c:v>16.12325680013333</c:v>
                </c:pt>
                <c:pt idx="9">
                  <c:v>16.873365750124997</c:v>
                </c:pt>
                <c:pt idx="10">
                  <c:v>17.623474700116663</c:v>
                </c:pt>
                <c:pt idx="11">
                  <c:v>18.37358365010833</c:v>
                </c:pt>
                <c:pt idx="12">
                  <c:v>19.123692600099996</c:v>
                </c:pt>
                <c:pt idx="13">
                  <c:v>19.873801550091663</c:v>
                </c:pt>
                <c:pt idx="14">
                  <c:v>20.623910500083333</c:v>
                </c:pt>
                <c:pt idx="15">
                  <c:v>21.374019450074996</c:v>
                </c:pt>
                <c:pt idx="16">
                  <c:v>22.124128400066667</c:v>
                </c:pt>
                <c:pt idx="17">
                  <c:v>22.87423735005833</c:v>
                </c:pt>
                <c:pt idx="18">
                  <c:v>23.62434630005</c:v>
                </c:pt>
                <c:pt idx="19">
                  <c:v>24.374455250041667</c:v>
                </c:pt>
                <c:pt idx="20">
                  <c:v>25.124564200033333</c:v>
                </c:pt>
                <c:pt idx="21">
                  <c:v>25.874673150025</c:v>
                </c:pt>
                <c:pt idx="22">
                  <c:v>26.624782100016667</c:v>
                </c:pt>
                <c:pt idx="23">
                  <c:v>27.374891050008333</c:v>
                </c:pt>
                <c:pt idx="24">
                  <c:v>28.125</c:v>
                </c:pt>
                <c:pt idx="25">
                  <c:v>27.374891050008333</c:v>
                </c:pt>
                <c:pt idx="26">
                  <c:v>26.624782100016667</c:v>
                </c:pt>
                <c:pt idx="27">
                  <c:v>25.874673150025</c:v>
                </c:pt>
                <c:pt idx="28">
                  <c:v>25.124564200033333</c:v>
                </c:pt>
                <c:pt idx="29">
                  <c:v>24.374455250041667</c:v>
                </c:pt>
                <c:pt idx="30">
                  <c:v>23.62434630005</c:v>
                </c:pt>
                <c:pt idx="31">
                  <c:v>22.87423735005833</c:v>
                </c:pt>
                <c:pt idx="32">
                  <c:v>22.124128400066667</c:v>
                </c:pt>
                <c:pt idx="33">
                  <c:v>21.374019450074996</c:v>
                </c:pt>
                <c:pt idx="34">
                  <c:v>20.623910500083333</c:v>
                </c:pt>
                <c:pt idx="35">
                  <c:v>19.873801550091663</c:v>
                </c:pt>
                <c:pt idx="36">
                  <c:v>19.123692600099996</c:v>
                </c:pt>
                <c:pt idx="37">
                  <c:v>18.37358365010833</c:v>
                </c:pt>
                <c:pt idx="38">
                  <c:v>17.623474700116663</c:v>
                </c:pt>
                <c:pt idx="39">
                  <c:v>16.873365750124997</c:v>
                </c:pt>
                <c:pt idx="40">
                  <c:v>16.12325680013333</c:v>
                </c:pt>
                <c:pt idx="41">
                  <c:v>15.373147850141663</c:v>
                </c:pt>
                <c:pt idx="42">
                  <c:v>14.623038900149997</c:v>
                </c:pt>
                <c:pt idx="43">
                  <c:v>13.87292995015833</c:v>
                </c:pt>
                <c:pt idx="44">
                  <c:v>13.122821000166663</c:v>
                </c:pt>
                <c:pt idx="45">
                  <c:v>12.372712050174995</c:v>
                </c:pt>
                <c:pt idx="46">
                  <c:v>11.62260310018333</c:v>
                </c:pt>
                <c:pt idx="47">
                  <c:v>10.872494150191663</c:v>
                </c:pt>
                <c:pt idx="48">
                  <c:v>10.122385200199993</c:v>
                </c:pt>
              </c:numCache>
            </c:numRef>
          </c:val>
          <c:smooth val="0"/>
        </c:ser>
        <c:marker val="1"/>
        <c:axId val="62967801"/>
        <c:axId val="29839298"/>
      </c:lineChart>
      <c:catAx>
        <c:axId val="62967801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39298"/>
        <c:crosses val="autoZero"/>
        <c:auto val="1"/>
        <c:lblOffset val="100"/>
        <c:tickLblSkip val="2"/>
        <c:noMultiLvlLbl val="0"/>
      </c:catAx>
      <c:valAx>
        <c:axId val="2983929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67801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19050</xdr:rowOff>
    </xdr:from>
    <xdr:to>
      <xdr:col>13</xdr:col>
      <xdr:colOff>285750</xdr:colOff>
      <xdr:row>40</xdr:row>
      <xdr:rowOff>0</xdr:rowOff>
    </xdr:to>
    <xdr:graphicFrame>
      <xdr:nvGraphicFramePr>
        <xdr:cNvPr id="1" name="Chart 4"/>
        <xdr:cNvGraphicFramePr/>
      </xdr:nvGraphicFramePr>
      <xdr:xfrm>
        <a:off x="57150" y="2981325"/>
        <a:ext cx="5505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8</xdr:col>
      <xdr:colOff>171450</xdr:colOff>
      <xdr:row>3</xdr:row>
      <xdr:rowOff>57150</xdr:rowOff>
    </xdr:from>
    <xdr:to>
      <xdr:col>10</xdr:col>
      <xdr:colOff>85725</xdr:colOff>
      <xdr:row>5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762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171450</xdr:colOff>
      <xdr:row>3</xdr:row>
      <xdr:rowOff>57150</xdr:rowOff>
    </xdr:from>
    <xdr:to>
      <xdr:col>8</xdr:col>
      <xdr:colOff>19050</xdr:colOff>
      <xdr:row>5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676275"/>
          <a:ext cx="74295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180975</xdr:colOff>
      <xdr:row>3</xdr:row>
      <xdr:rowOff>66675</xdr:rowOff>
    </xdr:from>
    <xdr:to>
      <xdr:col>12</xdr:col>
      <xdr:colOff>114300</xdr:colOff>
      <xdr:row>5</xdr:row>
      <xdr:rowOff>57150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685800"/>
          <a:ext cx="733425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171450</xdr:colOff>
      <xdr:row>5</xdr:row>
      <xdr:rowOff>76200</xdr:rowOff>
    </xdr:from>
    <xdr:to>
      <xdr:col>8</xdr:col>
      <xdr:colOff>19050</xdr:colOff>
      <xdr:row>7</xdr:row>
      <xdr:rowOff>9525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47925" y="962025"/>
          <a:ext cx="74295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180975</xdr:colOff>
      <xdr:row>5</xdr:row>
      <xdr:rowOff>76200</xdr:rowOff>
    </xdr:from>
    <xdr:to>
      <xdr:col>10</xdr:col>
      <xdr:colOff>85725</xdr:colOff>
      <xdr:row>7</xdr:row>
      <xdr:rowOff>9525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52800" y="962025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190500</xdr:colOff>
      <xdr:row>23</xdr:row>
      <xdr:rowOff>133350</xdr:rowOff>
    </xdr:from>
    <xdr:to>
      <xdr:col>13</xdr:col>
      <xdr:colOff>19050</xdr:colOff>
      <xdr:row>26</xdr:row>
      <xdr:rowOff>104775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0100" y="32575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304800</xdr:colOff>
      <xdr:row>14</xdr:row>
      <xdr:rowOff>57150</xdr:rowOff>
    </xdr:from>
    <xdr:to>
      <xdr:col>4</xdr:col>
      <xdr:colOff>95250</xdr:colOff>
      <xdr:row>22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724025"/>
          <a:ext cx="619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85725</xdr:rowOff>
    </xdr:from>
    <xdr:to>
      <xdr:col>12</xdr:col>
      <xdr:colOff>114300</xdr:colOff>
      <xdr:row>7</xdr:row>
      <xdr:rowOff>19050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00525" y="971550"/>
          <a:ext cx="733425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247650</xdr:colOff>
      <xdr:row>49</xdr:row>
      <xdr:rowOff>19050</xdr:rowOff>
    </xdr:from>
    <xdr:to>
      <xdr:col>2</xdr:col>
      <xdr:colOff>390525</xdr:colOff>
      <xdr:row>50</xdr:row>
      <xdr:rowOff>95250</xdr:rowOff>
    </xdr:to>
    <xdr:sp>
      <xdr:nvSpPr>
        <xdr:cNvPr id="10" name="AutoShape 62"/>
        <xdr:cNvSpPr>
          <a:spLocks/>
        </xdr:cNvSpPr>
      </xdr:nvSpPr>
      <xdr:spPr>
        <a:xfrm rot="16340969">
          <a:off x="800100" y="7353300"/>
          <a:ext cx="142875" cy="219075"/>
        </a:xfrm>
        <a:prstGeom prst="curvedDownArrow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152400</xdr:rowOff>
    </xdr:from>
    <xdr:to>
      <xdr:col>8</xdr:col>
      <xdr:colOff>209550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9525" y="800100"/>
        <a:ext cx="4895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28</xdr:row>
      <xdr:rowOff>0</xdr:rowOff>
    </xdr:from>
    <xdr:to>
      <xdr:col>7</xdr:col>
      <xdr:colOff>180975</xdr:colOff>
      <xdr:row>32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2486025" y="4695825"/>
          <a:ext cx="1781175" cy="7905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29</xdr:row>
      <xdr:rowOff>114300</xdr:rowOff>
    </xdr:from>
    <xdr:to>
      <xdr:col>4</xdr:col>
      <xdr:colOff>142875</xdr:colOff>
      <xdr:row>30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1857375" y="499110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4</xdr:row>
      <xdr:rowOff>85725</xdr:rowOff>
    </xdr:from>
    <xdr:to>
      <xdr:col>1</xdr:col>
      <xdr:colOff>123825</xdr:colOff>
      <xdr:row>6</xdr:row>
      <xdr:rowOff>66675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95350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64"/>
  <sheetViews>
    <sheetView showGridLines="0" tabSelected="1" workbookViewId="0" topLeftCell="A1">
      <selection activeCell="G17" sqref="G17"/>
    </sheetView>
  </sheetViews>
  <sheetFormatPr defaultColWidth="9.140625" defaultRowHeight="12.75"/>
  <cols>
    <col min="1" max="1" width="6.00390625" style="0" customWidth="1"/>
    <col min="2" max="2" width="2.28125" style="0" customWidth="1"/>
    <col min="3" max="3" width="6.00390625" style="1" customWidth="1"/>
    <col min="4" max="4" width="6.421875" style="0" customWidth="1"/>
    <col min="5" max="9" width="6.7109375" style="0" customWidth="1"/>
    <col min="10" max="12" width="6.00390625" style="0" customWidth="1"/>
    <col min="13" max="13" width="6.8515625" style="0" customWidth="1"/>
    <col min="14" max="28" width="6.00390625" style="0" customWidth="1"/>
  </cols>
  <sheetData>
    <row r="1" spans="5:12" ht="23.25">
      <c r="E1" s="68"/>
      <c r="F1" s="66" t="s">
        <v>59</v>
      </c>
      <c r="G1" s="68"/>
      <c r="H1" s="68"/>
      <c r="I1" s="68"/>
      <c r="J1" s="68"/>
      <c r="K1" s="68"/>
      <c r="L1" s="68"/>
    </row>
    <row r="2" ht="12.75" customHeight="1">
      <c r="F2" s="67" t="s">
        <v>56</v>
      </c>
    </row>
    <row r="3" ht="12.75" customHeight="1">
      <c r="G3" s="19" t="s">
        <v>57</v>
      </c>
    </row>
    <row r="4" spans="2:13" ht="8.25" customHeight="1"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12.75" customHeight="1"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2.75" customHeight="1">
      <c r="A6" s="15"/>
      <c r="B6" s="7"/>
      <c r="C6" s="8"/>
      <c r="D6" s="9"/>
      <c r="E6" s="9"/>
      <c r="F6" s="16" t="s">
        <v>5</v>
      </c>
      <c r="G6" s="9"/>
      <c r="H6" s="9"/>
      <c r="I6" s="9"/>
      <c r="J6" s="9"/>
      <c r="K6" s="9"/>
      <c r="L6" s="9"/>
      <c r="M6" s="10"/>
    </row>
    <row r="7" spans="2:13" ht="12.75" customHeight="1"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10"/>
    </row>
    <row r="8" spans="2:13" ht="4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4"/>
    </row>
    <row r="9" ht="3.75" customHeight="1"/>
    <row r="10" ht="3.75" customHeight="1">
      <c r="C10"/>
    </row>
    <row r="11" spans="1:3" ht="3.75" customHeight="1">
      <c r="A11" s="15"/>
      <c r="C11"/>
    </row>
    <row r="12" ht="3.75" customHeight="1">
      <c r="C12"/>
    </row>
    <row r="13" ht="3.75" customHeight="1"/>
    <row r="14" spans="2:13" ht="12.75" customHeight="1">
      <c r="B14" s="3"/>
      <c r="C14" s="4"/>
      <c r="D14" s="5"/>
      <c r="E14" s="5"/>
      <c r="F14" s="5"/>
      <c r="G14" s="5"/>
      <c r="H14" s="6"/>
      <c r="I14" s="28"/>
      <c r="J14" s="30"/>
      <c r="K14" s="31"/>
      <c r="L14" s="50"/>
      <c r="M14" s="32"/>
    </row>
    <row r="15" spans="2:13" ht="12.75" customHeight="1">
      <c r="B15" s="7"/>
      <c r="C15" s="8"/>
      <c r="D15" s="9"/>
      <c r="E15" s="9"/>
      <c r="F15" s="9"/>
      <c r="G15" s="9"/>
      <c r="H15" s="10"/>
      <c r="I15" s="27"/>
      <c r="J15" s="33"/>
      <c r="K15" s="51" t="s">
        <v>24</v>
      </c>
      <c r="L15" s="45">
        <f>(67.5*(300000/G19))/E43</f>
        <v>14.0625</v>
      </c>
      <c r="M15" s="35" t="s">
        <v>1</v>
      </c>
    </row>
    <row r="16" spans="2:13" ht="12.75" customHeight="1">
      <c r="B16" s="7"/>
      <c r="C16" s="8"/>
      <c r="D16" s="9"/>
      <c r="E16" s="9"/>
      <c r="F16" s="9"/>
      <c r="G16" s="9"/>
      <c r="H16" s="10"/>
      <c r="I16" s="27"/>
      <c r="J16" s="33"/>
      <c r="K16" s="34" t="s">
        <v>2</v>
      </c>
      <c r="L16" s="46">
        <f>IF(((ATAN((G18/2)/(L17-G17))*57.2958)*2)&lt;=0,((ATAN((G18/2)/(L17-G17))*57.2958)*2)+360,((ATAN((G18/2)/(L17-G17))*57.2958)*2))</f>
        <v>112.28998789427347</v>
      </c>
      <c r="M16" s="35" t="s">
        <v>1</v>
      </c>
    </row>
    <row r="17" spans="2:13" ht="12.75">
      <c r="B17" s="7"/>
      <c r="C17" s="8"/>
      <c r="D17" s="9"/>
      <c r="E17" s="9"/>
      <c r="F17" s="8" t="s">
        <v>6</v>
      </c>
      <c r="G17" s="72">
        <v>8</v>
      </c>
      <c r="H17" s="77" t="s">
        <v>16</v>
      </c>
      <c r="I17" s="27"/>
      <c r="J17" s="33"/>
      <c r="K17" s="34" t="s">
        <v>3</v>
      </c>
      <c r="L17" s="45">
        <f>(G18^2)/(16*G17)</f>
        <v>28.125</v>
      </c>
      <c r="M17" s="78" t="str">
        <f>H17</f>
        <v>cm</v>
      </c>
    </row>
    <row r="18" spans="2:13" ht="12.75">
      <c r="B18" s="7"/>
      <c r="C18" s="8"/>
      <c r="D18" s="9"/>
      <c r="E18" s="9"/>
      <c r="F18" s="8" t="s">
        <v>7</v>
      </c>
      <c r="G18" s="72">
        <v>60</v>
      </c>
      <c r="H18" s="77" t="s">
        <v>16</v>
      </c>
      <c r="I18" s="27"/>
      <c r="J18" s="33"/>
      <c r="K18" s="34" t="s">
        <v>0</v>
      </c>
      <c r="L18" s="46">
        <f>L17/G18</f>
        <v>0.46875</v>
      </c>
      <c r="M18" s="25"/>
    </row>
    <row r="19" spans="2:13" ht="12.75">
      <c r="B19" s="7"/>
      <c r="C19" s="8"/>
      <c r="D19" s="9"/>
      <c r="E19" s="9"/>
      <c r="F19" s="8" t="s">
        <v>8</v>
      </c>
      <c r="G19" s="73">
        <v>2400</v>
      </c>
      <c r="H19" s="80" t="s">
        <v>9</v>
      </c>
      <c r="I19" s="27"/>
      <c r="J19" s="33"/>
      <c r="K19" s="34" t="s">
        <v>4</v>
      </c>
      <c r="L19" s="45">
        <f>10*LOG(((3.14*E43)/(300000/G19))^2*0.5)</f>
        <v>20.55311775233623</v>
      </c>
      <c r="M19" s="36" t="s">
        <v>10</v>
      </c>
    </row>
    <row r="20" spans="2:13" ht="12.75">
      <c r="B20" s="7"/>
      <c r="C20" s="8"/>
      <c r="D20" s="9"/>
      <c r="E20" s="9"/>
      <c r="F20" s="8" t="s">
        <v>23</v>
      </c>
      <c r="G20" s="74">
        <v>10</v>
      </c>
      <c r="H20" s="77" t="str">
        <f>H17</f>
        <v>cm</v>
      </c>
      <c r="I20" s="27"/>
      <c r="J20" s="33"/>
      <c r="K20" s="34" t="s">
        <v>25</v>
      </c>
      <c r="L20" s="45">
        <f>E64</f>
        <v>0.36503357599001424</v>
      </c>
      <c r="M20" s="36" t="s">
        <v>10</v>
      </c>
    </row>
    <row r="21" spans="2:13" ht="12.75">
      <c r="B21" s="7"/>
      <c r="C21" s="8"/>
      <c r="D21" s="9"/>
      <c r="E21" s="9"/>
      <c r="F21" s="9"/>
      <c r="G21" s="9"/>
      <c r="H21" s="10"/>
      <c r="I21" s="27"/>
      <c r="J21" s="33"/>
      <c r="K21" s="34" t="s">
        <v>13</v>
      </c>
      <c r="L21" s="45">
        <f>L19-L20</f>
        <v>20.188084176346216</v>
      </c>
      <c r="M21" s="36" t="s">
        <v>10</v>
      </c>
    </row>
    <row r="22" spans="2:13" ht="12.75">
      <c r="B22" s="11"/>
      <c r="C22" s="12"/>
      <c r="D22" s="13"/>
      <c r="E22" s="13"/>
      <c r="F22" s="13"/>
      <c r="G22" s="13"/>
      <c r="H22" s="14"/>
      <c r="I22" s="29"/>
      <c r="J22" s="37"/>
      <c r="K22" s="37"/>
      <c r="L22" s="37"/>
      <c r="M22" s="26"/>
    </row>
    <row r="23" ht="12.75"/>
    <row r="24" ht="12.75"/>
    <row r="25" ht="12.75"/>
    <row r="26" ht="12.75"/>
    <row r="27" ht="12.75"/>
    <row r="41" spans="5:10" s="2" customFormat="1" ht="12.75">
      <c r="E41" s="2" t="s">
        <v>11</v>
      </c>
      <c r="F41" s="2" t="s">
        <v>16</v>
      </c>
      <c r="G41" s="2" t="s">
        <v>17</v>
      </c>
      <c r="H41" s="2" t="s">
        <v>18</v>
      </c>
      <c r="I41" s="2" t="s">
        <v>19</v>
      </c>
      <c r="J41" s="2" t="s">
        <v>51</v>
      </c>
    </row>
    <row r="42" spans="3:10" ht="12.75">
      <c r="C42" s="40"/>
      <c r="D42" s="40" t="s">
        <v>20</v>
      </c>
      <c r="E42" s="61">
        <f>IF(H17="mm",L17,(IF(H17="cm",(L17*10),(IF(H17="meters",(L17*1000),(IF(H17="inches",(L17/0.03936),IF(H17="feet",(L17*304.8),L17*E55))))))))</f>
        <v>281.25</v>
      </c>
      <c r="F42" s="62">
        <f>E42/10</f>
        <v>28.125</v>
      </c>
      <c r="G42" s="63">
        <f>E42/1000</f>
        <v>0.28125</v>
      </c>
      <c r="H42" s="64">
        <f>E42/25.4</f>
        <v>11.072834645669293</v>
      </c>
      <c r="I42" s="64">
        <f>E42/304.8</f>
        <v>0.9227362204724409</v>
      </c>
      <c r="J42" s="64">
        <f>E42/E55</f>
        <v>2.25</v>
      </c>
    </row>
    <row r="43" spans="3:10" ht="12.75">
      <c r="C43" s="40"/>
      <c r="D43" s="40" t="s">
        <v>21</v>
      </c>
      <c r="E43" s="61">
        <f>IF(H17="mm",G18,(IF(H17="cm",(G18*10),(IF(H17="meters",(G18*1000),(IF(H17="inches",(G18/0.03936),IF(H17="feet",(G18*304.8),G18*E55))))))))</f>
        <v>600</v>
      </c>
      <c r="F43" s="62">
        <f>E43/10</f>
        <v>60</v>
      </c>
      <c r="G43" s="63">
        <f>E43/1000</f>
        <v>0.6</v>
      </c>
      <c r="H43" s="64">
        <f>E43/25.4</f>
        <v>23.62204724409449</v>
      </c>
      <c r="I43" s="64">
        <f>E43/304.8</f>
        <v>1.9685039370078738</v>
      </c>
      <c r="J43" s="64">
        <f>E43/E55</f>
        <v>4.8</v>
      </c>
    </row>
    <row r="44" spans="3:10" ht="12.75">
      <c r="C44" s="40"/>
      <c r="D44" s="40" t="s">
        <v>22</v>
      </c>
      <c r="E44" s="61">
        <f>IF(H17="mm",G17,(IF(H17="cm",(G17*10),(IF(H17="meters",(G17*1000),(IF(H17="inches",(G17/0.03936),IF(H17="feet",(G17*304.8),G17*E55))))))))</f>
        <v>80</v>
      </c>
      <c r="F44" s="62">
        <f>E44/10</f>
        <v>8</v>
      </c>
      <c r="G44" s="63">
        <f>E44/1000</f>
        <v>0.08</v>
      </c>
      <c r="H44" s="64">
        <f>E44/25.4</f>
        <v>3.1496062992125986</v>
      </c>
      <c r="I44" s="64">
        <f>E44/304.8</f>
        <v>0.26246719160104987</v>
      </c>
      <c r="J44" s="64">
        <f>E44/E55</f>
        <v>0.64</v>
      </c>
    </row>
    <row r="45" spans="3:10" ht="12.75">
      <c r="C45" s="40"/>
      <c r="D45" s="40" t="s">
        <v>35</v>
      </c>
      <c r="E45" s="61">
        <f>IF(H17="mm",G20,(IF(H17="cm",(G20*10),(IF(H17="meters",(G20*1000),(IF(H17="inches",(G20/0.03936),IF(H17="feet",(G20*304.8),G20*E55))))))))</f>
        <v>100</v>
      </c>
      <c r="F45" s="62">
        <f>E45/10</f>
        <v>10</v>
      </c>
      <c r="G45" s="63">
        <f>E45/1000</f>
        <v>0.1</v>
      </c>
      <c r="H45" s="64">
        <f>E45/25.4</f>
        <v>3.937007874015748</v>
      </c>
      <c r="I45" s="64">
        <f>E45/304.8</f>
        <v>0.32808398950131235</v>
      </c>
      <c r="J45" s="64">
        <f>E45/E55</f>
        <v>0.8</v>
      </c>
    </row>
    <row r="46" spans="3:10" ht="12.75">
      <c r="C46" s="40"/>
      <c r="D46" s="40"/>
      <c r="E46" s="41"/>
      <c r="F46" s="42"/>
      <c r="G46" s="43"/>
      <c r="H46" s="44"/>
      <c r="I46" s="44"/>
      <c r="J46" s="44"/>
    </row>
    <row r="47" spans="1:28" s="39" customFormat="1" ht="12.75">
      <c r="A47" s="38"/>
      <c r="B47" s="38"/>
      <c r="C47" s="79" t="str">
        <f>H17&amp;" from center"</f>
        <v>cm from center</v>
      </c>
      <c r="D47" s="47">
        <f>G18/2</f>
        <v>30</v>
      </c>
      <c r="E47" s="47">
        <f>D47-(D47/12)</f>
        <v>27.5</v>
      </c>
      <c r="F47" s="47">
        <f>E47-(D47/12)</f>
        <v>25</v>
      </c>
      <c r="G47" s="47">
        <f>F47-(D47/12)</f>
        <v>22.5</v>
      </c>
      <c r="H47" s="47">
        <f>G47-(D47/12)</f>
        <v>20</v>
      </c>
      <c r="I47" s="47">
        <f>H47-(D47/12)</f>
        <v>17.5</v>
      </c>
      <c r="J47" s="47">
        <f>I47-(D47/12)</f>
        <v>15</v>
      </c>
      <c r="K47" s="47">
        <f>J47-(D47/12)</f>
        <v>12.5</v>
      </c>
      <c r="L47" s="47">
        <f>K47-(D47/12)</f>
        <v>10</v>
      </c>
      <c r="M47" s="47">
        <f>L47-(D47/12)</f>
        <v>7.5</v>
      </c>
      <c r="N47" s="47">
        <f>M47-(D47/12)</f>
        <v>5</v>
      </c>
      <c r="O47" s="47">
        <f>N47-(D47/12)</f>
        <v>2.5</v>
      </c>
      <c r="P47" s="47">
        <f>O47-(D47/12)</f>
        <v>0</v>
      </c>
      <c r="Q47" s="47">
        <f>R47-(D47/12)</f>
        <v>2.5</v>
      </c>
      <c r="R47" s="47">
        <f>S47-(D47/12)</f>
        <v>5</v>
      </c>
      <c r="S47" s="47">
        <f>T47-(D47/12)</f>
        <v>7.5</v>
      </c>
      <c r="T47" s="47">
        <f>U47-(D47/12)</f>
        <v>10</v>
      </c>
      <c r="U47" s="47">
        <f>V47-(D47/12)</f>
        <v>12.5</v>
      </c>
      <c r="V47" s="47">
        <f>W47-(D47/12)</f>
        <v>15</v>
      </c>
      <c r="W47" s="47">
        <f>X47-(D47/12)</f>
        <v>17.5</v>
      </c>
      <c r="X47" s="47">
        <f>Y47-(D47/12)</f>
        <v>20</v>
      </c>
      <c r="Y47" s="47">
        <f>Z47-(D47/12)</f>
        <v>22.5</v>
      </c>
      <c r="Z47" s="47">
        <f>AA47-(D47/12)</f>
        <v>25</v>
      </c>
      <c r="AA47" s="47">
        <f>AB47-(D47/12)</f>
        <v>27.5</v>
      </c>
      <c r="AB47" s="47">
        <f>D47</f>
        <v>30</v>
      </c>
    </row>
    <row r="48" spans="1:28" s="39" customFormat="1" ht="12.75">
      <c r="A48" s="38"/>
      <c r="B48" s="38"/>
      <c r="C48" s="79" t="str">
        <f>"height ("&amp;H17&amp;")"</f>
        <v>height (cm)</v>
      </c>
      <c r="D48" s="75">
        <f>Chart_calc!B18</f>
        <v>8</v>
      </c>
      <c r="E48" s="75">
        <f>Chart_calc!C18</f>
        <v>6.722222222222222</v>
      </c>
      <c r="F48" s="75">
        <f>Chart_calc!D18</f>
        <v>5.555555555555555</v>
      </c>
      <c r="G48" s="75">
        <f>Chart_calc!E18</f>
        <v>4.5</v>
      </c>
      <c r="H48" s="75">
        <f>Chart_calc!F18</f>
        <v>3.5555555555555554</v>
      </c>
      <c r="I48" s="75">
        <f>Chart_calc!G18</f>
        <v>2.7222222222222223</v>
      </c>
      <c r="J48" s="75">
        <f>Chart_calc!H18</f>
        <v>2</v>
      </c>
      <c r="K48" s="75">
        <f>Chart_calc!I18</f>
        <v>1.3888888888888888</v>
      </c>
      <c r="L48" s="75">
        <f>Chart_calc!J18</f>
        <v>0.8888888888888888</v>
      </c>
      <c r="M48" s="75">
        <f>Chart_calc!K18</f>
        <v>0.5</v>
      </c>
      <c r="N48" s="75">
        <f>Chart_calc!L18</f>
        <v>0.2222222222222222</v>
      </c>
      <c r="O48" s="75">
        <f>Chart_calc!M18</f>
        <v>0.05555555555555555</v>
      </c>
      <c r="P48" s="75">
        <f>Chart_calc!N18</f>
        <v>0</v>
      </c>
      <c r="Q48" s="75">
        <f>Chart_calc!O18</f>
        <v>0.05555555555555555</v>
      </c>
      <c r="R48" s="75">
        <f>Chart_calc!P18</f>
        <v>0.2222222222222222</v>
      </c>
      <c r="S48" s="75">
        <f>Chart_calc!Q18</f>
        <v>0.5</v>
      </c>
      <c r="T48" s="75">
        <f>Chart_calc!R18</f>
        <v>0.8888888888888888</v>
      </c>
      <c r="U48" s="75">
        <f>Chart_calc!S18</f>
        <v>1.3888888888888888</v>
      </c>
      <c r="V48" s="75">
        <f>Chart_calc!T18</f>
        <v>2</v>
      </c>
      <c r="W48" s="75">
        <f>Chart_calc!U18</f>
        <v>2.7222222222222223</v>
      </c>
      <c r="X48" s="75">
        <f>Chart_calc!V18</f>
        <v>3.5555555555555554</v>
      </c>
      <c r="Y48" s="75">
        <f>Chart_calc!W18</f>
        <v>4.5</v>
      </c>
      <c r="Z48" s="75">
        <f>Chart_calc!X18</f>
        <v>5.555555555555555</v>
      </c>
      <c r="AA48" s="75">
        <f>Chart_calc!Y18</f>
        <v>6.722222222222222</v>
      </c>
      <c r="AB48" s="75">
        <f>Chart_calc!Z18</f>
        <v>8</v>
      </c>
    </row>
    <row r="49" spans="1:28" s="39" customFormat="1" ht="12.75">
      <c r="A49" s="38"/>
      <c r="B49" s="38"/>
      <c r="C49" s="79" t="str">
        <f>"depth ("&amp;H17&amp;")"</f>
        <v>depth (cm)</v>
      </c>
      <c r="D49" s="75">
        <f>$D$48-D48</f>
        <v>0</v>
      </c>
      <c r="E49" s="75">
        <f>$D$48-E48</f>
        <v>1.2777777777777777</v>
      </c>
      <c r="F49" s="75">
        <f aca="true" t="shared" si="0" ref="F49:AB49">$D$48-F48</f>
        <v>2.4444444444444446</v>
      </c>
      <c r="G49" s="75">
        <f t="shared" si="0"/>
        <v>3.5</v>
      </c>
      <c r="H49" s="75">
        <f t="shared" si="0"/>
        <v>4.444444444444445</v>
      </c>
      <c r="I49" s="75">
        <f t="shared" si="0"/>
        <v>5.277777777777778</v>
      </c>
      <c r="J49" s="75">
        <f t="shared" si="0"/>
        <v>6</v>
      </c>
      <c r="K49" s="75">
        <f t="shared" si="0"/>
        <v>6.611111111111111</v>
      </c>
      <c r="L49" s="75">
        <f t="shared" si="0"/>
        <v>7.111111111111111</v>
      </c>
      <c r="M49" s="75">
        <f t="shared" si="0"/>
        <v>7.5</v>
      </c>
      <c r="N49" s="75">
        <f t="shared" si="0"/>
        <v>7.777777777777778</v>
      </c>
      <c r="O49" s="75">
        <f t="shared" si="0"/>
        <v>7.944444444444445</v>
      </c>
      <c r="P49" s="75">
        <f t="shared" si="0"/>
        <v>8</v>
      </c>
      <c r="Q49" s="75">
        <f t="shared" si="0"/>
        <v>7.944444444444445</v>
      </c>
      <c r="R49" s="75">
        <f t="shared" si="0"/>
        <v>7.777777777777778</v>
      </c>
      <c r="S49" s="75">
        <f t="shared" si="0"/>
        <v>7.5</v>
      </c>
      <c r="T49" s="75">
        <f t="shared" si="0"/>
        <v>7.111111111111111</v>
      </c>
      <c r="U49" s="75">
        <f t="shared" si="0"/>
        <v>6.611111111111111</v>
      </c>
      <c r="V49" s="75">
        <f t="shared" si="0"/>
        <v>6</v>
      </c>
      <c r="W49" s="75">
        <f t="shared" si="0"/>
        <v>5.277777777777778</v>
      </c>
      <c r="X49" s="75">
        <f t="shared" si="0"/>
        <v>4.444444444444445</v>
      </c>
      <c r="Y49" s="75">
        <f t="shared" si="0"/>
        <v>3.5</v>
      </c>
      <c r="Z49" s="75">
        <f t="shared" si="0"/>
        <v>2.4444444444444446</v>
      </c>
      <c r="AA49" s="75">
        <f t="shared" si="0"/>
        <v>1.2777777777777777</v>
      </c>
      <c r="AB49" s="75">
        <f t="shared" si="0"/>
        <v>0</v>
      </c>
    </row>
    <row r="50" spans="3:28" s="48" customFormat="1" ht="11.25">
      <c r="C50" s="49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</row>
    <row r="51" ht="12.75">
      <c r="D51" t="s">
        <v>58</v>
      </c>
    </row>
    <row r="53" spans="1:28" ht="12.75">
      <c r="A53" s="19"/>
      <c r="B53" s="19"/>
      <c r="C53" s="20"/>
      <c r="D53" s="24"/>
      <c r="E53" s="17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ht="12.75">
      <c r="A54" s="19"/>
      <c r="B54" s="19"/>
      <c r="C54" s="20"/>
      <c r="D54" s="20" t="s">
        <v>12</v>
      </c>
      <c r="E54" s="18">
        <f>1/((4*G18)*(L17/G18))</f>
        <v>0.008888888888888889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12.75">
      <c r="A55" s="19"/>
      <c r="B55" s="19"/>
      <c r="C55" s="20"/>
      <c r="D55" s="20" t="s">
        <v>27</v>
      </c>
      <c r="E55" s="24">
        <f>300000/G19</f>
        <v>125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2.75">
      <c r="A56" s="19"/>
      <c r="B56" s="19"/>
      <c r="C56" s="20"/>
      <c r="D56" s="20" t="s">
        <v>15</v>
      </c>
      <c r="E56" s="21">
        <f>E45</f>
        <v>100</v>
      </c>
      <c r="F56" s="19" t="s">
        <v>11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2.75">
      <c r="A57" s="19"/>
      <c r="B57" s="19"/>
      <c r="C57" s="20"/>
      <c r="D57" s="20" t="s">
        <v>14</v>
      </c>
      <c r="E57" s="19">
        <f>0.785*(E56)^2</f>
        <v>7850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12.75">
      <c r="A58" s="19"/>
      <c r="B58" s="19"/>
      <c r="C58" s="20"/>
      <c r="D58" s="20" t="s">
        <v>33</v>
      </c>
      <c r="E58" s="19">
        <f>0.7854*E43^2</f>
        <v>282744</v>
      </c>
      <c r="F58" s="19"/>
      <c r="G58" s="21"/>
      <c r="H58" s="19"/>
      <c r="I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12.75">
      <c r="A59" s="19"/>
      <c r="B59" s="19"/>
      <c r="C59" s="20"/>
      <c r="D59" s="20" t="s">
        <v>36</v>
      </c>
      <c r="E59" s="19">
        <f>0.7854*((E43/2/E44)*E42*2)^2</f>
        <v>3494608.154296875</v>
      </c>
      <c r="F59" s="19"/>
      <c r="G59" s="21"/>
      <c r="H59" s="19"/>
      <c r="I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2.75">
      <c r="A60" s="19"/>
      <c r="B60" s="19"/>
      <c r="C60" s="20"/>
      <c r="D60" s="20" t="s">
        <v>28</v>
      </c>
      <c r="E60" s="19">
        <f>E45/E43</f>
        <v>0.16666666666666666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4:5" ht="12.75">
      <c r="D61" s="20" t="s">
        <v>29</v>
      </c>
      <c r="E61" s="24">
        <v>1</v>
      </c>
    </row>
    <row r="62" spans="4:5" ht="12.75">
      <c r="D62" s="20" t="s">
        <v>30</v>
      </c>
      <c r="E62" s="19">
        <f>1-(1-(2*(E60*(E55/2))/E55)^2)^E61</f>
        <v>0.02777777777777779</v>
      </c>
    </row>
    <row r="63" spans="4:6" ht="12.75">
      <c r="D63" s="20" t="s">
        <v>31</v>
      </c>
      <c r="E63" s="19">
        <f>10*LOG((((4*3.1416)/E55^2)*E58)*0.5)</f>
        <v>20.557542556119166</v>
      </c>
      <c r="F63" t="s">
        <v>32</v>
      </c>
    </row>
    <row r="64" spans="4:6" ht="12.75">
      <c r="D64" s="20" t="s">
        <v>34</v>
      </c>
      <c r="E64" s="19">
        <f>10*LOG(1+(((4*3.1416)/E55^2)*(E57)*E62)*0.5)</f>
        <v>0.36503357599001424</v>
      </c>
      <c r="F64" t="s">
        <v>26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35"/>
  <sheetViews>
    <sheetView showGridLines="0" workbookViewId="0" topLeftCell="A1">
      <selection activeCell="G29" sqref="G29"/>
    </sheetView>
  </sheetViews>
  <sheetFormatPr defaultColWidth="9.140625" defaultRowHeight="12.75"/>
  <cols>
    <col min="3" max="3" width="7.140625" style="0" customWidth="1"/>
    <col min="5" max="5" width="11.140625" style="0" customWidth="1"/>
    <col min="7" max="7" width="6.421875" style="0" customWidth="1"/>
  </cols>
  <sheetData>
    <row r="2" spans="2:8" ht="23.25">
      <c r="B2" s="82" t="s">
        <v>59</v>
      </c>
      <c r="C2" s="82"/>
      <c r="D2" s="82"/>
      <c r="E2" s="82"/>
      <c r="F2" s="82"/>
      <c r="G2" s="82"/>
      <c r="H2" s="82"/>
    </row>
    <row r="3" ht="15">
      <c r="D3" s="67" t="s">
        <v>56</v>
      </c>
    </row>
    <row r="4" ht="12.75">
      <c r="E4" s="19" t="s">
        <v>57</v>
      </c>
    </row>
    <row r="24" spans="2:8" ht="12.75">
      <c r="B24" s="81" t="s">
        <v>46</v>
      </c>
      <c r="C24" s="81"/>
      <c r="D24" s="81"/>
      <c r="F24" s="81" t="s">
        <v>48</v>
      </c>
      <c r="G24" s="81"/>
      <c r="H24" s="81"/>
    </row>
    <row r="25" spans="2:4" ht="12.75">
      <c r="B25" s="34" t="s">
        <v>22</v>
      </c>
      <c r="C25" s="53">
        <f>Dish!G17</f>
        <v>8</v>
      </c>
      <c r="D25" t="str">
        <f>Dish!H17</f>
        <v>cm</v>
      </c>
    </row>
    <row r="26" spans="2:7" ht="12.75">
      <c r="B26" s="34" t="s">
        <v>21</v>
      </c>
      <c r="C26" s="53">
        <f>Dish!G18</f>
        <v>60</v>
      </c>
      <c r="D26" t="str">
        <f>Dish!H18</f>
        <v>cm</v>
      </c>
      <c r="F26" s="1" t="s">
        <v>47</v>
      </c>
      <c r="G26" s="72">
        <v>3.5</v>
      </c>
    </row>
    <row r="27" spans="2:5" ht="12.75">
      <c r="B27" s="34" t="s">
        <v>44</v>
      </c>
      <c r="C27" s="53">
        <f>Dish!G19</f>
        <v>2400</v>
      </c>
      <c r="D27" t="str">
        <f>Dish!H19</f>
        <v>MHz</v>
      </c>
      <c r="E27" s="69">
        <f>IF(G26&lt;=3,"Note: For 3 turns or less, circularity and feed pattern rapidly","")</f>
      </c>
    </row>
    <row r="28" spans="2:9" ht="12.75">
      <c r="B28" s="34" t="s">
        <v>45</v>
      </c>
      <c r="C28" s="53">
        <f>Dish!G20</f>
        <v>10</v>
      </c>
      <c r="D28" t="str">
        <f>Dish!H20</f>
        <v>cm</v>
      </c>
      <c r="E28" s="70">
        <f>IF(G26&lt;=3,"         deteriorate. A patch feed may be a better alternative.","")</f>
      </c>
      <c r="F28" s="71"/>
      <c r="G28" s="71"/>
      <c r="H28" s="71"/>
      <c r="I28" s="71"/>
    </row>
    <row r="29" spans="2:8" ht="14.25">
      <c r="B29" s="51" t="s">
        <v>24</v>
      </c>
      <c r="C29" s="54">
        <f>Dish!L15</f>
        <v>14.0625</v>
      </c>
      <c r="D29" s="52" t="str">
        <f>Dish!M15</f>
        <v>o</v>
      </c>
      <c r="F29" s="56" t="s">
        <v>55</v>
      </c>
      <c r="G29">
        <f>52/(G26*TAN(RADIANS(12.5)))^0.5</f>
        <v>59.03257162400675</v>
      </c>
      <c r="H29" s="55">
        <f>Dish!Q14</f>
        <v>0</v>
      </c>
    </row>
    <row r="30" spans="2:8" ht="14.25">
      <c r="B30" s="34" t="s">
        <v>2</v>
      </c>
      <c r="C30" s="59">
        <f>Dish!L16</f>
        <v>112.28998789427347</v>
      </c>
      <c r="D30" s="60" t="str">
        <f>Dish!M16</f>
        <v>o</v>
      </c>
      <c r="F30" s="65" t="s">
        <v>49</v>
      </c>
      <c r="G30">
        <f>84.7/(G26*TAN(RADIANS(12.5)))^0.5</f>
        <v>96.15497724141099</v>
      </c>
      <c r="H30" s="55">
        <f>Dish!Q15</f>
        <v>0</v>
      </c>
    </row>
    <row r="31" spans="2:8" ht="14.25">
      <c r="B31" s="34" t="s">
        <v>3</v>
      </c>
      <c r="C31" s="54">
        <f>Dish!L17</f>
        <v>28.125</v>
      </c>
      <c r="D31" t="str">
        <f>Dish!M17</f>
        <v>cm</v>
      </c>
      <c r="F31" s="58" t="s">
        <v>50</v>
      </c>
      <c r="G31">
        <f>97/(G26*TAN(RADIANS(12.5)))^0.5</f>
        <v>110.11845091401258</v>
      </c>
      <c r="H31" s="55">
        <f>Dish!Q16</f>
        <v>0</v>
      </c>
    </row>
    <row r="32" spans="2:8" ht="14.25">
      <c r="B32" s="34" t="s">
        <v>0</v>
      </c>
      <c r="C32" s="53">
        <f>Dish!L18</f>
        <v>0.46875</v>
      </c>
      <c r="F32" s="57" t="s">
        <v>54</v>
      </c>
      <c r="G32">
        <f>104/(G26*TAN(RADIANS(12.5)))^0.5</f>
        <v>118.0651432480135</v>
      </c>
      <c r="H32" s="55">
        <f>Dish!Q17</f>
        <v>0</v>
      </c>
    </row>
    <row r="33" spans="2:4" ht="12.75">
      <c r="B33" s="34" t="s">
        <v>4</v>
      </c>
      <c r="C33" s="54">
        <f>Dish!L19</f>
        <v>20.55311775233623</v>
      </c>
      <c r="D33" t="str">
        <f>Dish!M19</f>
        <v>dBic</v>
      </c>
    </row>
    <row r="34" spans="2:6" ht="12.75">
      <c r="B34" s="34" t="s">
        <v>25</v>
      </c>
      <c r="C34" s="54">
        <f>Dish!L20</f>
        <v>0.36503357599001424</v>
      </c>
      <c r="D34" t="str">
        <f>Dish!M20</f>
        <v>dBic</v>
      </c>
      <c r="F34" s="1"/>
    </row>
    <row r="35" spans="2:6" ht="12.75">
      <c r="B35" s="34" t="s">
        <v>13</v>
      </c>
      <c r="C35" s="54">
        <f>Dish!L21</f>
        <v>20.188084176346216</v>
      </c>
      <c r="D35" t="str">
        <f>Dish!M21</f>
        <v>dBic</v>
      </c>
      <c r="F35" s="1"/>
    </row>
  </sheetData>
  <sheetProtection sheet="1" objects="1" scenarios="1"/>
  <mergeCells count="3">
    <mergeCell ref="B24:D24"/>
    <mergeCell ref="F24:H24"/>
    <mergeCell ref="B2:H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X52"/>
  <sheetViews>
    <sheetView workbookViewId="0" topLeftCell="A1">
      <selection activeCell="L48" sqref="L48"/>
    </sheetView>
  </sheetViews>
  <sheetFormatPr defaultColWidth="9.140625" defaultRowHeight="12.75"/>
  <cols>
    <col min="1" max="1" width="7.28125" style="19" customWidth="1"/>
    <col min="2" max="50" width="6.7109375" style="19" customWidth="1"/>
    <col min="51" max="16384" width="9.140625" style="19" customWidth="1"/>
  </cols>
  <sheetData>
    <row r="2" spans="2:50" ht="11.25">
      <c r="B2" s="21">
        <f>Dish!G18/2</f>
        <v>30</v>
      </c>
      <c r="C2" s="21">
        <f aca="true" t="shared" si="0" ref="C2:Z2">B2-($B$2/24)</f>
        <v>28.75</v>
      </c>
      <c r="D2" s="21">
        <f t="shared" si="0"/>
        <v>27.5</v>
      </c>
      <c r="E2" s="21">
        <f t="shared" si="0"/>
        <v>26.25</v>
      </c>
      <c r="F2" s="21">
        <f t="shared" si="0"/>
        <v>25</v>
      </c>
      <c r="G2" s="21">
        <f t="shared" si="0"/>
        <v>23.75</v>
      </c>
      <c r="H2" s="21">
        <f t="shared" si="0"/>
        <v>22.5</v>
      </c>
      <c r="I2" s="21">
        <f t="shared" si="0"/>
        <v>21.25</v>
      </c>
      <c r="J2" s="21">
        <f t="shared" si="0"/>
        <v>20</v>
      </c>
      <c r="K2" s="21">
        <f t="shared" si="0"/>
        <v>18.75</v>
      </c>
      <c r="L2" s="21">
        <f t="shared" si="0"/>
        <v>17.5</v>
      </c>
      <c r="M2" s="21">
        <f t="shared" si="0"/>
        <v>16.25</v>
      </c>
      <c r="N2" s="21">
        <f t="shared" si="0"/>
        <v>15</v>
      </c>
      <c r="O2" s="21">
        <f t="shared" si="0"/>
        <v>13.75</v>
      </c>
      <c r="P2" s="21">
        <f t="shared" si="0"/>
        <v>12.5</v>
      </c>
      <c r="Q2" s="21">
        <f t="shared" si="0"/>
        <v>11.25</v>
      </c>
      <c r="R2" s="21">
        <f t="shared" si="0"/>
        <v>10</v>
      </c>
      <c r="S2" s="21">
        <f t="shared" si="0"/>
        <v>8.75</v>
      </c>
      <c r="T2" s="21">
        <f t="shared" si="0"/>
        <v>7.5</v>
      </c>
      <c r="U2" s="21">
        <f t="shared" si="0"/>
        <v>6.25</v>
      </c>
      <c r="V2" s="21">
        <f t="shared" si="0"/>
        <v>5</v>
      </c>
      <c r="W2" s="21">
        <f t="shared" si="0"/>
        <v>3.75</v>
      </c>
      <c r="X2" s="21">
        <f t="shared" si="0"/>
        <v>2.5</v>
      </c>
      <c r="Y2" s="21">
        <f t="shared" si="0"/>
        <v>1.25</v>
      </c>
      <c r="Z2" s="21">
        <f t="shared" si="0"/>
        <v>0</v>
      </c>
      <c r="AA2" s="21">
        <f aca="true" t="shared" si="1" ref="AA2:AW2">AB2-($B$2/24)</f>
        <v>1.25</v>
      </c>
      <c r="AB2" s="21">
        <f t="shared" si="1"/>
        <v>2.5</v>
      </c>
      <c r="AC2" s="21">
        <f t="shared" si="1"/>
        <v>3.75</v>
      </c>
      <c r="AD2" s="21">
        <f t="shared" si="1"/>
        <v>5</v>
      </c>
      <c r="AE2" s="21">
        <f t="shared" si="1"/>
        <v>6.25</v>
      </c>
      <c r="AF2" s="21">
        <f t="shared" si="1"/>
        <v>7.5</v>
      </c>
      <c r="AG2" s="21">
        <f t="shared" si="1"/>
        <v>8.75</v>
      </c>
      <c r="AH2" s="21">
        <f t="shared" si="1"/>
        <v>10</v>
      </c>
      <c r="AI2" s="21">
        <f t="shared" si="1"/>
        <v>11.25</v>
      </c>
      <c r="AJ2" s="21">
        <f t="shared" si="1"/>
        <v>12.5</v>
      </c>
      <c r="AK2" s="21">
        <f t="shared" si="1"/>
        <v>13.75</v>
      </c>
      <c r="AL2" s="21">
        <f t="shared" si="1"/>
        <v>15</v>
      </c>
      <c r="AM2" s="21">
        <f t="shared" si="1"/>
        <v>16.25</v>
      </c>
      <c r="AN2" s="21">
        <f t="shared" si="1"/>
        <v>17.5</v>
      </c>
      <c r="AO2" s="21">
        <f t="shared" si="1"/>
        <v>18.75</v>
      </c>
      <c r="AP2" s="21">
        <f t="shared" si="1"/>
        <v>20</v>
      </c>
      <c r="AQ2" s="21">
        <f t="shared" si="1"/>
        <v>21.25</v>
      </c>
      <c r="AR2" s="21">
        <f t="shared" si="1"/>
        <v>22.5</v>
      </c>
      <c r="AS2" s="21">
        <f t="shared" si="1"/>
        <v>23.75</v>
      </c>
      <c r="AT2" s="21">
        <f t="shared" si="1"/>
        <v>25</v>
      </c>
      <c r="AU2" s="21">
        <f t="shared" si="1"/>
        <v>26.25</v>
      </c>
      <c r="AV2" s="21">
        <f t="shared" si="1"/>
        <v>27.5</v>
      </c>
      <c r="AW2" s="21">
        <f t="shared" si="1"/>
        <v>28.75</v>
      </c>
      <c r="AX2" s="21">
        <f>B2</f>
        <v>30</v>
      </c>
    </row>
    <row r="4" spans="2:50" s="38" customFormat="1" ht="11.25">
      <c r="B4" s="38">
        <f>B5</f>
        <v>8</v>
      </c>
      <c r="C4" s="38">
        <f>B4+(($Z$4-$B$4)/24)</f>
        <v>8.838541666666666</v>
      </c>
      <c r="D4" s="38">
        <f>C4+(($Z$4-$B$4)/24)</f>
        <v>9.677083333333332</v>
      </c>
      <c r="E4" s="38">
        <f>D4+(($Z$4-$B$4)/24)</f>
        <v>10.515624999999998</v>
      </c>
      <c r="F4" s="38">
        <f>E4+(($Z$4-$B$4)/24)</f>
        <v>11.354166666666664</v>
      </c>
      <c r="G4" s="38">
        <f aca="true" t="shared" si="2" ref="G4:Y4">F4+(($Z$4-$B$4)/24)</f>
        <v>12.19270833333333</v>
      </c>
      <c r="H4" s="38">
        <f t="shared" si="2"/>
        <v>13.031249999999996</v>
      </c>
      <c r="I4" s="38">
        <f t="shared" si="2"/>
        <v>13.869791666666663</v>
      </c>
      <c r="J4" s="38">
        <f t="shared" si="2"/>
        <v>14.708333333333329</v>
      </c>
      <c r="K4" s="38">
        <f t="shared" si="2"/>
        <v>15.546874999999995</v>
      </c>
      <c r="L4" s="38">
        <f t="shared" si="2"/>
        <v>16.38541666666666</v>
      </c>
      <c r="M4" s="38">
        <f t="shared" si="2"/>
        <v>17.22395833333333</v>
      </c>
      <c r="N4" s="38">
        <f t="shared" si="2"/>
        <v>18.062499999999996</v>
      </c>
      <c r="O4" s="38">
        <f t="shared" si="2"/>
        <v>18.901041666666664</v>
      </c>
      <c r="P4" s="38">
        <f t="shared" si="2"/>
        <v>19.739583333333332</v>
      </c>
      <c r="Q4" s="38">
        <f t="shared" si="2"/>
        <v>20.578125</v>
      </c>
      <c r="R4" s="38">
        <f t="shared" si="2"/>
        <v>21.416666666666668</v>
      </c>
      <c r="S4" s="38">
        <f t="shared" si="2"/>
        <v>22.255208333333336</v>
      </c>
      <c r="T4" s="38">
        <f t="shared" si="2"/>
        <v>23.093750000000004</v>
      </c>
      <c r="U4" s="38">
        <f t="shared" si="2"/>
        <v>23.93229166666667</v>
      </c>
      <c r="V4" s="38">
        <f t="shared" si="2"/>
        <v>24.77083333333334</v>
      </c>
      <c r="W4" s="38">
        <f t="shared" si="2"/>
        <v>25.609375000000007</v>
      </c>
      <c r="X4" s="38">
        <f t="shared" si="2"/>
        <v>26.447916666666675</v>
      </c>
      <c r="Y4" s="38">
        <f t="shared" si="2"/>
        <v>27.286458333333343</v>
      </c>
      <c r="Z4" s="38">
        <f>Dish!L17</f>
        <v>28.125</v>
      </c>
      <c r="AA4" s="38">
        <f aca="true" t="shared" si="3" ref="AA4:AU4">AB4+(($Z$4-$B$4)/24)</f>
        <v>27.286458333333343</v>
      </c>
      <c r="AB4" s="38">
        <f t="shared" si="3"/>
        <v>26.447916666666675</v>
      </c>
      <c r="AC4" s="38">
        <f t="shared" si="3"/>
        <v>25.609375000000007</v>
      </c>
      <c r="AD4" s="38">
        <f t="shared" si="3"/>
        <v>24.77083333333334</v>
      </c>
      <c r="AE4" s="38">
        <f t="shared" si="3"/>
        <v>23.93229166666667</v>
      </c>
      <c r="AF4" s="38">
        <f t="shared" si="3"/>
        <v>23.093750000000004</v>
      </c>
      <c r="AG4" s="38">
        <f t="shared" si="3"/>
        <v>22.255208333333336</v>
      </c>
      <c r="AH4" s="38">
        <f t="shared" si="3"/>
        <v>21.416666666666668</v>
      </c>
      <c r="AI4" s="38">
        <f t="shared" si="3"/>
        <v>20.578125</v>
      </c>
      <c r="AJ4" s="38">
        <f t="shared" si="3"/>
        <v>19.739583333333332</v>
      </c>
      <c r="AK4" s="38">
        <f t="shared" si="3"/>
        <v>18.901041666666664</v>
      </c>
      <c r="AL4" s="38">
        <f t="shared" si="3"/>
        <v>18.062499999999996</v>
      </c>
      <c r="AM4" s="38">
        <f t="shared" si="3"/>
        <v>17.22395833333333</v>
      </c>
      <c r="AN4" s="38">
        <f t="shared" si="3"/>
        <v>16.38541666666666</v>
      </c>
      <c r="AO4" s="38">
        <f t="shared" si="3"/>
        <v>15.546874999999995</v>
      </c>
      <c r="AP4" s="38">
        <f t="shared" si="3"/>
        <v>14.708333333333329</v>
      </c>
      <c r="AQ4" s="38">
        <f t="shared" si="3"/>
        <v>13.869791666666663</v>
      </c>
      <c r="AR4" s="38">
        <f t="shared" si="3"/>
        <v>13.031249999999996</v>
      </c>
      <c r="AS4" s="38">
        <f t="shared" si="3"/>
        <v>12.19270833333333</v>
      </c>
      <c r="AT4" s="38">
        <f t="shared" si="3"/>
        <v>11.354166666666664</v>
      </c>
      <c r="AU4" s="38">
        <f t="shared" si="3"/>
        <v>10.515624999999998</v>
      </c>
      <c r="AV4" s="38">
        <f>AW4+(($Z$4-$B$4)/24)</f>
        <v>9.677083333333332</v>
      </c>
      <c r="AW4" s="38">
        <f>AX4+(($Z$4-$B$4)/24)</f>
        <v>8.838541666666666</v>
      </c>
      <c r="AX4" s="38">
        <f>AX5</f>
        <v>8</v>
      </c>
    </row>
    <row r="5" spans="2:50" s="38" customFormat="1" ht="11.25">
      <c r="B5" s="38">
        <f>B2^2*Dish!$E$54</f>
        <v>8</v>
      </c>
      <c r="C5" s="38">
        <f>C2^2*Dish!$E$54</f>
        <v>7.347222222222222</v>
      </c>
      <c r="D5" s="38">
        <f>D2^2*Dish!$E$54</f>
        <v>6.722222222222222</v>
      </c>
      <c r="E5" s="38">
        <f>E2^2*Dish!$E$54</f>
        <v>6.125</v>
      </c>
      <c r="F5" s="38">
        <f>F2^2*Dish!$E$54</f>
        <v>5.555555555555555</v>
      </c>
      <c r="G5" s="38">
        <f>G2^2*Dish!$E$54</f>
        <v>5.013888888888889</v>
      </c>
      <c r="H5" s="38">
        <f>H2^2*Dish!$E$54</f>
        <v>4.5</v>
      </c>
      <c r="I5" s="38">
        <f>I2^2*Dish!$E$54</f>
        <v>4.013888888888889</v>
      </c>
      <c r="J5" s="38">
        <f>J2^2*Dish!$E$54</f>
        <v>3.5555555555555554</v>
      </c>
      <c r="K5" s="38">
        <f>K2^2*Dish!$E$54</f>
        <v>3.125</v>
      </c>
      <c r="L5" s="38">
        <f>L2^2*Dish!$E$54</f>
        <v>2.7222222222222223</v>
      </c>
      <c r="M5" s="38">
        <f>M2^2*Dish!$E$54</f>
        <v>2.3472222222222223</v>
      </c>
      <c r="N5" s="38">
        <f>N2^2*Dish!$E$54</f>
        <v>2</v>
      </c>
      <c r="O5" s="38">
        <f>O2^2*Dish!$E$54</f>
        <v>1.6805555555555556</v>
      </c>
      <c r="P5" s="38">
        <f>P2^2*Dish!$E$54</f>
        <v>1.3888888888888888</v>
      </c>
      <c r="Q5" s="38">
        <f>Q2^2*Dish!$E$54</f>
        <v>1.125</v>
      </c>
      <c r="R5" s="38">
        <f>R2^2*Dish!$E$54</f>
        <v>0.8888888888888888</v>
      </c>
      <c r="S5" s="38">
        <f>S2^2*Dish!$E$54</f>
        <v>0.6805555555555556</v>
      </c>
      <c r="T5" s="38">
        <f>T2^2*Dish!$E$54</f>
        <v>0.5</v>
      </c>
      <c r="U5" s="38">
        <f>U2^2*Dish!$E$54</f>
        <v>0.3472222222222222</v>
      </c>
      <c r="V5" s="38">
        <f>V2^2*Dish!$E$54</f>
        <v>0.2222222222222222</v>
      </c>
      <c r="W5" s="38">
        <f>W2^2*Dish!$E$54</f>
        <v>0.125</v>
      </c>
      <c r="X5" s="38">
        <f>X2^2*Dish!$E$54</f>
        <v>0.05555555555555555</v>
      </c>
      <c r="Y5" s="38">
        <f>Y2^2*Dish!$E$54</f>
        <v>0.013888888888888888</v>
      </c>
      <c r="Z5" s="38">
        <f>Z2^2*Dish!$E$54</f>
        <v>0</v>
      </c>
      <c r="AA5" s="38">
        <f>AA2^2*Dish!$E$54</f>
        <v>0.013888888888888888</v>
      </c>
      <c r="AB5" s="38">
        <f>AB2^2*Dish!$E$54</f>
        <v>0.05555555555555555</v>
      </c>
      <c r="AC5" s="38">
        <f>AC2^2*Dish!$E$54</f>
        <v>0.125</v>
      </c>
      <c r="AD5" s="38">
        <f>AD2^2*Dish!$E$54</f>
        <v>0.2222222222222222</v>
      </c>
      <c r="AE5" s="38">
        <f>AE2^2*Dish!$E$54</f>
        <v>0.3472222222222222</v>
      </c>
      <c r="AF5" s="38">
        <f>AF2^2*Dish!$E$54</f>
        <v>0.5</v>
      </c>
      <c r="AG5" s="38">
        <f>AG2^2*Dish!$E$54</f>
        <v>0.6805555555555556</v>
      </c>
      <c r="AH5" s="38">
        <f>AH2^2*Dish!$E$54</f>
        <v>0.8888888888888888</v>
      </c>
      <c r="AI5" s="38">
        <f>AI2^2*Dish!$E$54</f>
        <v>1.125</v>
      </c>
      <c r="AJ5" s="38">
        <f>AJ2^2*Dish!$E$54</f>
        <v>1.3888888888888888</v>
      </c>
      <c r="AK5" s="38">
        <f>AK2^2*Dish!$E$54</f>
        <v>1.6805555555555556</v>
      </c>
      <c r="AL5" s="38">
        <f>AL2^2*Dish!$E$54</f>
        <v>2</v>
      </c>
      <c r="AM5" s="38">
        <f>AM2^2*Dish!$E$54</f>
        <v>2.3472222222222223</v>
      </c>
      <c r="AN5" s="38">
        <f>AN2^2*Dish!$E$54</f>
        <v>2.7222222222222223</v>
      </c>
      <c r="AO5" s="38">
        <f>AO2^2*Dish!$E$54</f>
        <v>3.125</v>
      </c>
      <c r="AP5" s="38">
        <f>AP2^2*Dish!$E$54</f>
        <v>3.5555555555555554</v>
      </c>
      <c r="AQ5" s="38">
        <f>AQ2^2*Dish!$E$54</f>
        <v>4.013888888888889</v>
      </c>
      <c r="AR5" s="38">
        <f>AR2^2*Dish!$E$54</f>
        <v>4.5</v>
      </c>
      <c r="AS5" s="38">
        <f>AS2^2*Dish!$E$54</f>
        <v>5.013888888888889</v>
      </c>
      <c r="AT5" s="38">
        <f>AT2^2*Dish!$E$54</f>
        <v>5.555555555555555</v>
      </c>
      <c r="AU5" s="38">
        <f>AU2^2*Dish!$E$54</f>
        <v>6.125</v>
      </c>
      <c r="AV5" s="38">
        <f>AV2^2*Dish!$E$54</f>
        <v>6.722222222222222</v>
      </c>
      <c r="AW5" s="38">
        <f>AW2^2*Dish!$E$54</f>
        <v>7.347222222222222</v>
      </c>
      <c r="AX5" s="38">
        <f>AX2^2*Dish!$E$54</f>
        <v>8</v>
      </c>
    </row>
    <row r="6" spans="2:50" s="22" customFormat="1" ht="11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2:50" ht="11.25">
      <c r="B7" s="19">
        <f>B2*TAN(RADIANS(Chart_calc!$E$27))</f>
        <v>52.98967154411587</v>
      </c>
      <c r="C7" s="19">
        <f>C2*TAN(RADIANS(Chart_calc!$E$27))</f>
        <v>50.781768563111044</v>
      </c>
      <c r="D7" s="19">
        <f>D2*TAN(RADIANS(Chart_calc!$E$27))</f>
        <v>48.573865582106215</v>
      </c>
      <c r="E7" s="19">
        <f>E2*TAN(RADIANS(Chart_calc!$E$27))</f>
        <v>46.365962601101394</v>
      </c>
      <c r="F7" s="19">
        <f>F2*TAN(RADIANS(Chart_calc!$E$27))</f>
        <v>44.158059620096566</v>
      </c>
      <c r="G7" s="19">
        <f>G2*TAN(RADIANS(Chart_calc!$E$27))</f>
        <v>41.95015663909174</v>
      </c>
      <c r="H7" s="19">
        <f>H2*TAN(RADIANS(Chart_calc!$E$27))</f>
        <v>39.74225365808691</v>
      </c>
      <c r="I7" s="19">
        <f>I2*TAN(RADIANS(Chart_calc!$E$27))</f>
        <v>37.53435067708208</v>
      </c>
      <c r="J7" s="19">
        <f>J2*TAN(RADIANS(Chart_calc!$E$27))</f>
        <v>35.32644769607725</v>
      </c>
      <c r="K7" s="19">
        <f>K2*TAN(RADIANS(Chart_calc!$E$27))</f>
        <v>33.118544715072424</v>
      </c>
      <c r="L7" s="19">
        <f>L2*TAN(RADIANS(Chart_calc!$E$27))</f>
        <v>30.910641734067593</v>
      </c>
      <c r="M7" s="19">
        <f>M2*TAN(RADIANS(Chart_calc!$E$27))</f>
        <v>28.702738753062764</v>
      </c>
      <c r="N7" s="19">
        <f>N2*TAN(RADIANS(Chart_calc!$E$27))</f>
        <v>26.494835772057936</v>
      </c>
      <c r="O7" s="19">
        <f>O2*TAN(RADIANS(Chart_calc!$E$27))</f>
        <v>24.286932791053108</v>
      </c>
      <c r="P7" s="19">
        <f>P2*TAN(RADIANS(Chart_calc!$E$27))</f>
        <v>22.079029810048283</v>
      </c>
      <c r="Q7" s="19">
        <f>Q2*TAN(RADIANS(Chart_calc!$E$27))</f>
        <v>19.871126829043455</v>
      </c>
      <c r="R7" s="19">
        <f>R2*TAN(RADIANS(Chart_calc!$E$27))</f>
        <v>17.663223848038626</v>
      </c>
      <c r="S7" s="19">
        <f>S2*TAN(RADIANS(Chart_calc!$E$27))</f>
        <v>15.455320867033796</v>
      </c>
      <c r="T7" s="19">
        <f>T2*TAN(RADIANS(Chart_calc!$E$27))</f>
        <v>13.247417886028968</v>
      </c>
      <c r="U7" s="19">
        <f>U2*TAN(RADIANS(Chart_calc!$E$27))</f>
        <v>11.039514905024141</v>
      </c>
      <c r="V7" s="19">
        <f>V2*TAN(RADIANS(Chart_calc!$E$27))</f>
        <v>8.831611924019313</v>
      </c>
      <c r="W7" s="19">
        <f>W2*TAN(RADIANS(Chart_calc!$E$27))</f>
        <v>6.623708943014484</v>
      </c>
      <c r="X7" s="19">
        <f>X2*TAN(RADIANS(Chart_calc!$E$27))</f>
        <v>4.415805962009657</v>
      </c>
      <c r="Y7" s="19">
        <f>Y2*TAN(RADIANS(Chart_calc!$E$27))</f>
        <v>2.2079029810048283</v>
      </c>
      <c r="Z7" s="19">
        <f>Z2*TAN(RADIANS(Chart_calc!$E$27))</f>
        <v>0</v>
      </c>
      <c r="AA7" s="19">
        <f>AA2*TAN(RADIANS(Chart_calc!$E$27))</f>
        <v>2.2079029810048283</v>
      </c>
      <c r="AB7" s="19">
        <f>AB2*TAN(RADIANS(Chart_calc!$E$27))</f>
        <v>4.415805962009657</v>
      </c>
      <c r="AC7" s="19">
        <f>AC2*TAN(RADIANS(Chart_calc!$E$27))</f>
        <v>6.623708943014484</v>
      </c>
      <c r="AD7" s="19">
        <f>AD2*TAN(RADIANS(Chart_calc!$E$27))</f>
        <v>8.831611924019313</v>
      </c>
      <c r="AE7" s="19">
        <f>AE2*TAN(RADIANS(Chart_calc!$E$27))</f>
        <v>11.039514905024141</v>
      </c>
      <c r="AF7" s="19">
        <f>AF2*TAN(RADIANS(Chart_calc!$E$27))</f>
        <v>13.247417886028968</v>
      </c>
      <c r="AG7" s="19">
        <f>AG2*TAN(RADIANS(Chart_calc!$E$27))</f>
        <v>15.455320867033796</v>
      </c>
      <c r="AH7" s="19">
        <f>AH2*TAN(RADIANS(Chart_calc!$E$27))</f>
        <v>17.663223848038626</v>
      </c>
      <c r="AI7" s="19">
        <f>AI2*TAN(RADIANS(Chart_calc!$E$27))</f>
        <v>19.871126829043455</v>
      </c>
      <c r="AJ7" s="19">
        <f>AJ2*TAN(RADIANS(Chart_calc!$E$27))</f>
        <v>22.079029810048283</v>
      </c>
      <c r="AK7" s="19">
        <f>AK2*TAN(RADIANS(Chart_calc!$E$27))</f>
        <v>24.286932791053108</v>
      </c>
      <c r="AL7" s="19">
        <f>AL2*TAN(RADIANS(Chart_calc!$E$27))</f>
        <v>26.494835772057936</v>
      </c>
      <c r="AM7" s="19">
        <f>AM2*TAN(RADIANS(Chart_calc!$E$27))</f>
        <v>28.702738753062764</v>
      </c>
      <c r="AN7" s="19">
        <f>AN2*TAN(RADIANS(Chart_calc!$E$27))</f>
        <v>30.910641734067593</v>
      </c>
      <c r="AO7" s="19">
        <f>AO2*TAN(RADIANS(Chart_calc!$E$27))</f>
        <v>33.118544715072424</v>
      </c>
      <c r="AP7" s="19">
        <f>AP2*TAN(RADIANS(Chart_calc!$E$27))</f>
        <v>35.32644769607725</v>
      </c>
      <c r="AQ7" s="19">
        <f>AQ2*TAN(RADIANS(Chart_calc!$E$27))</f>
        <v>37.53435067708208</v>
      </c>
      <c r="AR7" s="19">
        <f>AR2*TAN(RADIANS(Chart_calc!$E$27))</f>
        <v>39.74225365808691</v>
      </c>
      <c r="AS7" s="19">
        <f>AS2*TAN(RADIANS(Chart_calc!$E$27))</f>
        <v>41.95015663909174</v>
      </c>
      <c r="AT7" s="19">
        <f>AT2*TAN(RADIANS(Chart_calc!$E$27))</f>
        <v>44.158059620096566</v>
      </c>
      <c r="AU7" s="19">
        <f>AU2*TAN(RADIANS(Chart_calc!$E$27))</f>
        <v>46.365962601101394</v>
      </c>
      <c r="AV7" s="19">
        <f>AV2*TAN(RADIANS(Chart_calc!$E$27))</f>
        <v>48.573865582106215</v>
      </c>
      <c r="AW7" s="19">
        <f>AW2*TAN(RADIANS(Chart_calc!$E$27))</f>
        <v>50.781768563111044</v>
      </c>
      <c r="AX7" s="19">
        <f>AX2*TAN(RADIANS(Chart_calc!$E$27))</f>
        <v>52.98967154411587</v>
      </c>
    </row>
    <row r="8" spans="2:50" ht="11.25">
      <c r="B8" s="19">
        <f>B2*TAN(RADIANS(Chart_calc!$F$27))</f>
        <v>26.93874408978057</v>
      </c>
      <c r="C8" s="19">
        <f>C2*TAN(RADIANS(Chart_calc!$F$27))</f>
        <v>25.81629641937305</v>
      </c>
      <c r="D8" s="19">
        <f>D2*TAN(RADIANS(Chart_calc!$F$27))</f>
        <v>24.693848748965525</v>
      </c>
      <c r="E8" s="19">
        <f>E2*TAN(RADIANS(Chart_calc!$F$27))</f>
        <v>23.571401078558</v>
      </c>
      <c r="F8" s="19">
        <f>F2*TAN(RADIANS(Chart_calc!$F$27))</f>
        <v>22.448953408150476</v>
      </c>
      <c r="G8" s="19">
        <f>G2*TAN(RADIANS(Chart_calc!$F$27))</f>
        <v>21.326505737742952</v>
      </c>
      <c r="H8" s="19">
        <f>H2*TAN(RADIANS(Chart_calc!$F$27))</f>
        <v>20.204058067335428</v>
      </c>
      <c r="I8" s="19">
        <f>I2*TAN(RADIANS(Chart_calc!$F$27))</f>
        <v>19.081610396927903</v>
      </c>
      <c r="J8" s="19">
        <f>J2*TAN(RADIANS(Chart_calc!$F$27))</f>
        <v>17.959162726520383</v>
      </c>
      <c r="K8" s="19">
        <f>K2*TAN(RADIANS(Chart_calc!$F$27))</f>
        <v>16.83671505611286</v>
      </c>
      <c r="L8" s="19">
        <f>L2*TAN(RADIANS(Chart_calc!$F$27))</f>
        <v>15.714267385705334</v>
      </c>
      <c r="M8" s="19">
        <f>M2*TAN(RADIANS(Chart_calc!$F$27))</f>
        <v>14.59181971529781</v>
      </c>
      <c r="N8" s="19">
        <f>N2*TAN(RADIANS(Chart_calc!$F$27))</f>
        <v>13.469372044890285</v>
      </c>
      <c r="O8" s="19">
        <f>O2*TAN(RADIANS(Chart_calc!$F$27))</f>
        <v>12.346924374482763</v>
      </c>
      <c r="P8" s="19">
        <f>P2*TAN(RADIANS(Chart_calc!$F$27))</f>
        <v>11.224476704075238</v>
      </c>
      <c r="Q8" s="19">
        <f>Q2*TAN(RADIANS(Chart_calc!$F$27))</f>
        <v>10.102029033667714</v>
      </c>
      <c r="R8" s="19">
        <f>R2*TAN(RADIANS(Chart_calc!$F$27))</f>
        <v>8.979581363260191</v>
      </c>
      <c r="S8" s="19">
        <f>S2*TAN(RADIANS(Chart_calc!$F$27))</f>
        <v>7.857133692852667</v>
      </c>
      <c r="T8" s="19">
        <f>T2*TAN(RADIANS(Chart_calc!$F$27))</f>
        <v>6.734686022445143</v>
      </c>
      <c r="U8" s="19">
        <f>U2*TAN(RADIANS(Chart_calc!$F$27))</f>
        <v>5.612238352037619</v>
      </c>
      <c r="V8" s="19">
        <f>V2*TAN(RADIANS(Chart_calc!$F$27))</f>
        <v>4.489790681630096</v>
      </c>
      <c r="W8" s="19">
        <f>W2*TAN(RADIANS(Chart_calc!$F$27))</f>
        <v>3.3673430112225713</v>
      </c>
      <c r="X8" s="19">
        <f>X2*TAN(RADIANS(Chart_calc!$F$27))</f>
        <v>2.244895340815048</v>
      </c>
      <c r="Y8" s="19">
        <f>Y2*TAN(RADIANS(Chart_calc!$F$27))</f>
        <v>1.122447670407524</v>
      </c>
      <c r="Z8" s="19">
        <f>Z2*TAN(RADIANS(Chart_calc!$F$27))</f>
        <v>0</v>
      </c>
      <c r="AA8" s="19">
        <f>AA2*TAN(RADIANS(Chart_calc!$F$27))</f>
        <v>1.122447670407524</v>
      </c>
      <c r="AB8" s="19">
        <f>AB2*TAN(RADIANS(Chart_calc!$F$27))</f>
        <v>2.244895340815048</v>
      </c>
      <c r="AC8" s="19">
        <f>AC2*TAN(RADIANS(Chart_calc!$F$27))</f>
        <v>3.3673430112225713</v>
      </c>
      <c r="AD8" s="19">
        <f>AD2*TAN(RADIANS(Chart_calc!$F$27))</f>
        <v>4.489790681630096</v>
      </c>
      <c r="AE8" s="19">
        <f>AE2*TAN(RADIANS(Chart_calc!$F$27))</f>
        <v>5.612238352037619</v>
      </c>
      <c r="AF8" s="19">
        <f>AF2*TAN(RADIANS(Chart_calc!$F$27))</f>
        <v>6.734686022445143</v>
      </c>
      <c r="AG8" s="19">
        <f>AG2*TAN(RADIANS(Chart_calc!$F$27))</f>
        <v>7.857133692852667</v>
      </c>
      <c r="AH8" s="19">
        <f>AH2*TAN(RADIANS(Chart_calc!$F$27))</f>
        <v>8.979581363260191</v>
      </c>
      <c r="AI8" s="19">
        <f>AI2*TAN(RADIANS(Chart_calc!$F$27))</f>
        <v>10.102029033667714</v>
      </c>
      <c r="AJ8" s="19">
        <f>AJ2*TAN(RADIANS(Chart_calc!$F$27))</f>
        <v>11.224476704075238</v>
      </c>
      <c r="AK8" s="19">
        <f>AK2*TAN(RADIANS(Chart_calc!$F$27))</f>
        <v>12.346924374482763</v>
      </c>
      <c r="AL8" s="19">
        <f>AL2*TAN(RADIANS(Chart_calc!$F$27))</f>
        <v>13.469372044890285</v>
      </c>
      <c r="AM8" s="19">
        <f>AM2*TAN(RADIANS(Chart_calc!$F$27))</f>
        <v>14.59181971529781</v>
      </c>
      <c r="AN8" s="19">
        <f>AN2*TAN(RADIANS(Chart_calc!$F$27))</f>
        <v>15.714267385705334</v>
      </c>
      <c r="AO8" s="19">
        <f>AO2*TAN(RADIANS(Chart_calc!$F$27))</f>
        <v>16.83671505611286</v>
      </c>
      <c r="AP8" s="19">
        <f>AP2*TAN(RADIANS(Chart_calc!$F$27))</f>
        <v>17.959162726520383</v>
      </c>
      <c r="AQ8" s="19">
        <f>AQ2*TAN(RADIANS(Chart_calc!$F$27))</f>
        <v>19.081610396927903</v>
      </c>
      <c r="AR8" s="19">
        <f>AR2*TAN(RADIANS(Chart_calc!$F$27))</f>
        <v>20.204058067335428</v>
      </c>
      <c r="AS8" s="19">
        <f>AS2*TAN(RADIANS(Chart_calc!$F$27))</f>
        <v>21.326505737742952</v>
      </c>
      <c r="AT8" s="19">
        <f>AT2*TAN(RADIANS(Chart_calc!$F$27))</f>
        <v>22.448953408150476</v>
      </c>
      <c r="AU8" s="19">
        <f>AU2*TAN(RADIANS(Chart_calc!$F$27))</f>
        <v>23.571401078558</v>
      </c>
      <c r="AV8" s="19">
        <f>AV2*TAN(RADIANS(Chart_calc!$F$27))</f>
        <v>24.693848748965525</v>
      </c>
      <c r="AW8" s="19">
        <f>AW2*TAN(RADIANS(Chart_calc!$F$27))</f>
        <v>25.81629641937305</v>
      </c>
      <c r="AX8" s="19">
        <f>AX2*TAN(RADIANS(Chart_calc!$F$27))</f>
        <v>26.93874408978057</v>
      </c>
    </row>
    <row r="9" spans="2:50" ht="11.25">
      <c r="B9" s="19">
        <f>B2*TAN(RADIANS(Chart_calc!$G$27))</f>
        <v>20.9600450823345</v>
      </c>
      <c r="C9" s="19">
        <f>C2*TAN(RADIANS(Chart_calc!$G$27))</f>
        <v>20.086709870570562</v>
      </c>
      <c r="D9" s="19">
        <f>D2*TAN(RADIANS(Chart_calc!$G$27))</f>
        <v>19.213374658806625</v>
      </c>
      <c r="E9" s="19">
        <f>E2*TAN(RADIANS(Chart_calc!$G$27))</f>
        <v>18.340039447042685</v>
      </c>
      <c r="F9" s="19">
        <f>F2*TAN(RADIANS(Chart_calc!$G$27))</f>
        <v>17.466704235278748</v>
      </c>
      <c r="G9" s="19">
        <f>G2*TAN(RADIANS(Chart_calc!$G$27))</f>
        <v>16.59336902351481</v>
      </c>
      <c r="H9" s="19">
        <f>H2*TAN(RADIANS(Chart_calc!$G$27))</f>
        <v>15.720033811750874</v>
      </c>
      <c r="I9" s="19">
        <f>I2*TAN(RADIANS(Chart_calc!$G$27))</f>
        <v>14.846698599986937</v>
      </c>
      <c r="J9" s="19">
        <f>J2*TAN(RADIANS(Chart_calc!$G$27))</f>
        <v>13.973363388223</v>
      </c>
      <c r="K9" s="19">
        <f>K2*TAN(RADIANS(Chart_calc!$G$27))</f>
        <v>13.100028176459062</v>
      </c>
      <c r="L9" s="19">
        <f>L2*TAN(RADIANS(Chart_calc!$G$27))</f>
        <v>12.226692964695124</v>
      </c>
      <c r="M9" s="19">
        <f>M2*TAN(RADIANS(Chart_calc!$G$27))</f>
        <v>11.353357752931187</v>
      </c>
      <c r="N9" s="19">
        <f>N2*TAN(RADIANS(Chart_calc!$G$27))</f>
        <v>10.48002254116725</v>
      </c>
      <c r="O9" s="19">
        <f>O2*TAN(RADIANS(Chart_calc!$G$27))</f>
        <v>9.606687329403313</v>
      </c>
      <c r="P9" s="19">
        <f>P2*TAN(RADIANS(Chart_calc!$G$27))</f>
        <v>8.733352117639374</v>
      </c>
      <c r="Q9" s="19">
        <f>Q2*TAN(RADIANS(Chart_calc!$G$27))</f>
        <v>7.860016905875437</v>
      </c>
      <c r="R9" s="19">
        <f>R2*TAN(RADIANS(Chart_calc!$G$27))</f>
        <v>6.9866816941115</v>
      </c>
      <c r="S9" s="19">
        <f>S2*TAN(RADIANS(Chart_calc!$G$27))</f>
        <v>6.113346482347562</v>
      </c>
      <c r="T9" s="19">
        <f>T2*TAN(RADIANS(Chart_calc!$G$27))</f>
        <v>5.240011270583625</v>
      </c>
      <c r="U9" s="19">
        <f>U2*TAN(RADIANS(Chart_calc!$G$27))</f>
        <v>4.366676058819687</v>
      </c>
      <c r="V9" s="19">
        <f>V2*TAN(RADIANS(Chart_calc!$G$27))</f>
        <v>3.49334084705575</v>
      </c>
      <c r="W9" s="19">
        <f>W2*TAN(RADIANS(Chart_calc!$G$27))</f>
        <v>2.6200056352918124</v>
      </c>
      <c r="X9" s="19">
        <f>X2*TAN(RADIANS(Chart_calc!$G$27))</f>
        <v>1.746670423527875</v>
      </c>
      <c r="Y9" s="19">
        <f>Y2*TAN(RADIANS(Chart_calc!$G$27))</f>
        <v>0.8733352117639375</v>
      </c>
      <c r="Z9" s="19">
        <f>Z2*TAN(RADIANS(Chart_calc!$G$27))</f>
        <v>0</v>
      </c>
      <c r="AA9" s="19">
        <f>AA2*TAN(RADIANS(Chart_calc!$G$27))</f>
        <v>0.8733352117639375</v>
      </c>
      <c r="AB9" s="19">
        <f>AB2*TAN(RADIANS(Chart_calc!$G$27))</f>
        <v>1.746670423527875</v>
      </c>
      <c r="AC9" s="19">
        <f>AC2*TAN(RADIANS(Chart_calc!$G$27))</f>
        <v>2.6200056352918124</v>
      </c>
      <c r="AD9" s="19">
        <f>AD2*TAN(RADIANS(Chart_calc!$G$27))</f>
        <v>3.49334084705575</v>
      </c>
      <c r="AE9" s="19">
        <f>AE2*TAN(RADIANS(Chart_calc!$G$27))</f>
        <v>4.366676058819687</v>
      </c>
      <c r="AF9" s="19">
        <f>AF2*TAN(RADIANS(Chart_calc!$G$27))</f>
        <v>5.240011270583625</v>
      </c>
      <c r="AG9" s="19">
        <f>AG2*TAN(RADIANS(Chart_calc!$G$27))</f>
        <v>6.113346482347562</v>
      </c>
      <c r="AH9" s="19">
        <f>AH2*TAN(RADIANS(Chart_calc!$G$27))</f>
        <v>6.9866816941115</v>
      </c>
      <c r="AI9" s="19">
        <f>AI2*TAN(RADIANS(Chart_calc!$G$27))</f>
        <v>7.860016905875437</v>
      </c>
      <c r="AJ9" s="19">
        <f>AJ2*TAN(RADIANS(Chart_calc!$G$27))</f>
        <v>8.733352117639374</v>
      </c>
      <c r="AK9" s="19">
        <f>AK2*TAN(RADIANS(Chart_calc!$G$27))</f>
        <v>9.606687329403313</v>
      </c>
      <c r="AL9" s="19">
        <f>AL2*TAN(RADIANS(Chart_calc!$G$27))</f>
        <v>10.48002254116725</v>
      </c>
      <c r="AM9" s="19">
        <f>AM2*TAN(RADIANS(Chart_calc!$G$27))</f>
        <v>11.353357752931187</v>
      </c>
      <c r="AN9" s="19">
        <f>AN2*TAN(RADIANS(Chart_calc!$G$27))</f>
        <v>12.226692964695124</v>
      </c>
      <c r="AO9" s="19">
        <f>AO2*TAN(RADIANS(Chart_calc!$G$27))</f>
        <v>13.100028176459062</v>
      </c>
      <c r="AP9" s="19">
        <f>AP2*TAN(RADIANS(Chart_calc!$G$27))</f>
        <v>13.973363388223</v>
      </c>
      <c r="AQ9" s="19">
        <f>AQ2*TAN(RADIANS(Chart_calc!$G$27))</f>
        <v>14.846698599986937</v>
      </c>
      <c r="AR9" s="19">
        <f>AR2*TAN(RADIANS(Chart_calc!$G$27))</f>
        <v>15.720033811750874</v>
      </c>
      <c r="AS9" s="19">
        <f>AS2*TAN(RADIANS(Chart_calc!$G$27))</f>
        <v>16.59336902351481</v>
      </c>
      <c r="AT9" s="19">
        <f>AT2*TAN(RADIANS(Chart_calc!$G$27))</f>
        <v>17.466704235278748</v>
      </c>
      <c r="AU9" s="19">
        <f>AU2*TAN(RADIANS(Chart_calc!$G$27))</f>
        <v>18.340039447042685</v>
      </c>
      <c r="AV9" s="19">
        <f>AV2*TAN(RADIANS(Chart_calc!$G$27))</f>
        <v>19.213374658806625</v>
      </c>
      <c r="AW9" s="19">
        <f>AW2*TAN(RADIANS(Chart_calc!$G$27))</f>
        <v>20.086709870570562</v>
      </c>
      <c r="AX9" s="19">
        <f>AX2*TAN(RADIANS(Chart_calc!$G$27))</f>
        <v>20.9600450823345</v>
      </c>
    </row>
    <row r="10" spans="2:50" ht="11.25">
      <c r="B10" s="19">
        <f>B2*TAN(RADIANS(Chart_calc!$H$27))</f>
        <v>18.002614799800007</v>
      </c>
      <c r="C10" s="19">
        <f>C2*TAN(RADIANS(Chart_calc!$H$27))</f>
        <v>17.252505849808337</v>
      </c>
      <c r="D10" s="19">
        <f>D2*TAN(RADIANS(Chart_calc!$H$27))</f>
        <v>16.50239689981667</v>
      </c>
      <c r="E10" s="19">
        <f>E2*TAN(RADIANS(Chart_calc!$H$27))</f>
        <v>15.752287949825005</v>
      </c>
      <c r="F10" s="19">
        <f>F2*TAN(RADIANS(Chart_calc!$H$27))</f>
        <v>15.002178999833337</v>
      </c>
      <c r="G10" s="19">
        <f>G2*TAN(RADIANS(Chart_calc!$H$27))</f>
        <v>14.25207004984167</v>
      </c>
      <c r="H10" s="19">
        <f>H2*TAN(RADIANS(Chart_calc!$H$27))</f>
        <v>13.501961099850003</v>
      </c>
      <c r="I10" s="19">
        <f>I2*TAN(RADIANS(Chart_calc!$H$27))</f>
        <v>12.751852149858337</v>
      </c>
      <c r="J10" s="19">
        <f>J2*TAN(RADIANS(Chart_calc!$H$27))</f>
        <v>12.00174319986667</v>
      </c>
      <c r="K10" s="19">
        <f>K2*TAN(RADIANS(Chart_calc!$H$27))</f>
        <v>11.251634249875003</v>
      </c>
      <c r="L10" s="19">
        <f>L2*TAN(RADIANS(Chart_calc!$H$27))</f>
        <v>10.501525299883337</v>
      </c>
      <c r="M10" s="19">
        <f>M2*TAN(RADIANS(Chart_calc!$H$27))</f>
        <v>9.75141634989167</v>
      </c>
      <c r="N10" s="19">
        <f>N2*TAN(RADIANS(Chart_calc!$H$27))</f>
        <v>9.001307399900004</v>
      </c>
      <c r="O10" s="19">
        <f>O2*TAN(RADIANS(Chart_calc!$H$27))</f>
        <v>8.251198449908335</v>
      </c>
      <c r="P10" s="19">
        <f>P2*TAN(RADIANS(Chart_calc!$H$27))</f>
        <v>7.501089499916668</v>
      </c>
      <c r="Q10" s="19">
        <f>Q2*TAN(RADIANS(Chart_calc!$H$27))</f>
        <v>6.750980549925002</v>
      </c>
      <c r="R10" s="19">
        <f>R2*TAN(RADIANS(Chart_calc!$H$27))</f>
        <v>6.000871599933335</v>
      </c>
      <c r="S10" s="19">
        <f>S2*TAN(RADIANS(Chart_calc!$H$27))</f>
        <v>5.250762649941668</v>
      </c>
      <c r="T10" s="19">
        <f>T2*TAN(RADIANS(Chart_calc!$H$27))</f>
        <v>4.500653699950002</v>
      </c>
      <c r="U10" s="19">
        <f>U2*TAN(RADIANS(Chart_calc!$H$27))</f>
        <v>3.750544749958334</v>
      </c>
      <c r="V10" s="19">
        <f>V2*TAN(RADIANS(Chart_calc!$H$27))</f>
        <v>3.0004357999666675</v>
      </c>
      <c r="W10" s="19">
        <f>W2*TAN(RADIANS(Chart_calc!$H$27))</f>
        <v>2.250326849975001</v>
      </c>
      <c r="X10" s="19">
        <f>X2*TAN(RADIANS(Chart_calc!$H$27))</f>
        <v>1.5002178999833338</v>
      </c>
      <c r="Y10" s="19">
        <f>Y2*TAN(RADIANS(Chart_calc!$H$27))</f>
        <v>0.7501089499916669</v>
      </c>
      <c r="Z10" s="19">
        <f>Z2*TAN(RADIANS(Chart_calc!$H$27))</f>
        <v>0</v>
      </c>
      <c r="AA10" s="19">
        <f>AA2*TAN(RADIANS(Chart_calc!$H$27))</f>
        <v>0.7501089499916669</v>
      </c>
      <c r="AB10" s="19">
        <f>AB2*TAN(RADIANS(Chart_calc!$H$27))</f>
        <v>1.5002178999833338</v>
      </c>
      <c r="AC10" s="19">
        <f>AC2*TAN(RADIANS(Chart_calc!$H$27))</f>
        <v>2.250326849975001</v>
      </c>
      <c r="AD10" s="19">
        <f>AD2*TAN(RADIANS(Chart_calc!$H$27))</f>
        <v>3.0004357999666675</v>
      </c>
      <c r="AE10" s="19">
        <f>AE2*TAN(RADIANS(Chart_calc!$H$27))</f>
        <v>3.750544749958334</v>
      </c>
      <c r="AF10" s="19">
        <f>AF2*TAN(RADIANS(Chart_calc!$H$27))</f>
        <v>4.500653699950002</v>
      </c>
      <c r="AG10" s="19">
        <f>AG2*TAN(RADIANS(Chart_calc!$H$27))</f>
        <v>5.250762649941668</v>
      </c>
      <c r="AH10" s="19">
        <f>AH2*TAN(RADIANS(Chart_calc!$H$27))</f>
        <v>6.000871599933335</v>
      </c>
      <c r="AI10" s="19">
        <f>AI2*TAN(RADIANS(Chart_calc!$H$27))</f>
        <v>6.750980549925002</v>
      </c>
      <c r="AJ10" s="19">
        <f>AJ2*TAN(RADIANS(Chart_calc!$H$27))</f>
        <v>7.501089499916668</v>
      </c>
      <c r="AK10" s="19">
        <f>AK2*TAN(RADIANS(Chart_calc!$H$27))</f>
        <v>8.251198449908335</v>
      </c>
      <c r="AL10" s="19">
        <f>AL2*TAN(RADIANS(Chart_calc!$H$27))</f>
        <v>9.001307399900004</v>
      </c>
      <c r="AM10" s="19">
        <f>AM2*TAN(RADIANS(Chart_calc!$H$27))</f>
        <v>9.75141634989167</v>
      </c>
      <c r="AN10" s="19">
        <f>AN2*TAN(RADIANS(Chart_calc!$H$27))</f>
        <v>10.501525299883337</v>
      </c>
      <c r="AO10" s="19">
        <f>AO2*TAN(RADIANS(Chart_calc!$H$27))</f>
        <v>11.251634249875003</v>
      </c>
      <c r="AP10" s="19">
        <f>AP2*TAN(RADIANS(Chart_calc!$H$27))</f>
        <v>12.00174319986667</v>
      </c>
      <c r="AQ10" s="19">
        <f>AQ2*TAN(RADIANS(Chart_calc!$H$27))</f>
        <v>12.751852149858337</v>
      </c>
      <c r="AR10" s="19">
        <f>AR2*TAN(RADIANS(Chart_calc!$H$27))</f>
        <v>13.501961099850003</v>
      </c>
      <c r="AS10" s="19">
        <f>AS2*TAN(RADIANS(Chart_calc!$H$27))</f>
        <v>14.25207004984167</v>
      </c>
      <c r="AT10" s="19">
        <f>AT2*TAN(RADIANS(Chart_calc!$H$27))</f>
        <v>15.002178999833337</v>
      </c>
      <c r="AU10" s="19">
        <f>AU2*TAN(RADIANS(Chart_calc!$H$27))</f>
        <v>15.752287949825005</v>
      </c>
      <c r="AV10" s="19">
        <f>AV2*TAN(RADIANS(Chart_calc!$H$27))</f>
        <v>16.50239689981667</v>
      </c>
      <c r="AW10" s="19">
        <f>AW2*TAN(RADIANS(Chart_calc!$H$27))</f>
        <v>17.252505849808337</v>
      </c>
      <c r="AX10" s="19">
        <f>AX2*TAN(RADIANS(Chart_calc!$H$27))</f>
        <v>18.002614799800007</v>
      </c>
    </row>
    <row r="12" spans="2:50" ht="11.25">
      <c r="B12" s="19">
        <f>IF(Dish!$L$17-B7&lt;Chart_calc!B5,Chart_calc!B5,Dish!$L$17-B7)</f>
        <v>8</v>
      </c>
      <c r="C12" s="19">
        <f>IF(Dish!$L$17-C7&lt;Chart_calc!C5,Chart_calc!C5,Dish!$L$17-C7)</f>
        <v>7.347222222222222</v>
      </c>
      <c r="D12" s="19">
        <f>IF(Dish!$L$17-D7&lt;Chart_calc!D5,Chart_calc!D5,Dish!$L$17-D7)</f>
        <v>6.722222222222222</v>
      </c>
      <c r="E12" s="19">
        <f>IF(Dish!$L$17-E7&lt;Chart_calc!E5,Chart_calc!E5,Dish!$L$17-E7)</f>
        <v>6.125</v>
      </c>
      <c r="F12" s="19">
        <f>IF(Dish!$L$17-F7&lt;Chart_calc!F5,Chart_calc!F5,Dish!$L$17-F7)</f>
        <v>5.555555555555555</v>
      </c>
      <c r="G12" s="19">
        <f>IF(Dish!$L$17-G7&lt;Chart_calc!G5,Chart_calc!G5,Dish!$L$17-G7)</f>
        <v>5.013888888888889</v>
      </c>
      <c r="H12" s="19">
        <f>IF(Dish!$L$17-H7&lt;Chart_calc!H5,Chart_calc!H5,Dish!$L$17-H7)</f>
        <v>4.5</v>
      </c>
      <c r="I12" s="19">
        <f>IF(Dish!$L$17-I7&lt;Chart_calc!I5,Chart_calc!I5,Dish!$L$17-I7)</f>
        <v>4.013888888888889</v>
      </c>
      <c r="J12" s="19">
        <f>IF(Dish!$L$17-J7&lt;Chart_calc!J5,Chart_calc!J5,Dish!$L$17-J7)</f>
        <v>3.5555555555555554</v>
      </c>
      <c r="K12" s="19">
        <f>IF(Dish!$L$17-K7&lt;Chart_calc!K5,Chart_calc!K5,Dish!$L$17-K7)</f>
        <v>3.125</v>
      </c>
      <c r="L12" s="19">
        <f>IF(Dish!$L$17-L7&lt;Chart_calc!L5,Chart_calc!L5,Dish!$L$17-L7)</f>
        <v>2.7222222222222223</v>
      </c>
      <c r="M12" s="19">
        <f>IF(Dish!$L$17-M7&lt;Chart_calc!M5,Chart_calc!M5,Dish!$L$17-M7)</f>
        <v>2.3472222222222223</v>
      </c>
      <c r="N12" s="19">
        <f>IF(Dish!$L$17-N7&lt;Chart_calc!N5,Chart_calc!N5,Dish!$L$17-N7)</f>
        <v>2</v>
      </c>
      <c r="O12" s="19">
        <f>IF(Dish!$L$17-O7&lt;Chart_calc!O5,Chart_calc!O5,Dish!$L$17-O7)</f>
        <v>3.8380672089468924</v>
      </c>
      <c r="P12" s="19">
        <f>IF(Dish!$L$17-P7&lt;Chart_calc!P5,Chart_calc!P5,Dish!$L$17-P7)</f>
        <v>6.045970189951717</v>
      </c>
      <c r="Q12" s="19">
        <f>IF(Dish!$L$17-Q7&lt;Chart_calc!Q5,Chart_calc!Q5,Dish!$L$17-Q7)</f>
        <v>8.253873170956545</v>
      </c>
      <c r="R12" s="19">
        <f>IF(Dish!$L$17-R7&lt;Chart_calc!R5,Chart_calc!R5,Dish!$L$17-R7)</f>
        <v>10.461776151961374</v>
      </c>
      <c r="S12" s="19">
        <f>IF(Dish!$L$17-S7&lt;Chart_calc!S5,Chart_calc!S5,Dish!$L$17-S7)</f>
        <v>12.669679132966204</v>
      </c>
      <c r="T12" s="19">
        <f>IF(Dish!$L$17-T7&lt;Chart_calc!T5,Chart_calc!T5,Dish!$L$17-T7)</f>
        <v>14.877582113971032</v>
      </c>
      <c r="U12" s="19">
        <f>IF(Dish!$L$17-U7&lt;Chart_calc!U5,Chart_calc!U5,Dish!$L$17-U7)</f>
        <v>17.08548509497586</v>
      </c>
      <c r="V12" s="19">
        <f>IF(Dish!$L$17-V7&lt;Chart_calc!V5,Chart_calc!V5,Dish!$L$17-V7)</f>
        <v>19.293388075980687</v>
      </c>
      <c r="W12" s="19">
        <f>IF(Dish!$L$17-W7&lt;Chart_calc!W5,Chart_calc!W5,Dish!$L$17-W7)</f>
        <v>21.501291056985515</v>
      </c>
      <c r="X12" s="19">
        <f>IF(Dish!$L$17-X7&lt;Chart_calc!X5,Chart_calc!X5,Dish!$L$17-X7)</f>
        <v>23.709194037990343</v>
      </c>
      <c r="Y12" s="19">
        <f>IF(Dish!$L$17-Y7&lt;Chart_calc!Y5,Chart_calc!Y5,Dish!$L$17-Y7)</f>
        <v>25.91709701899517</v>
      </c>
      <c r="Z12" s="19">
        <f>IF(Dish!$L$17-Z7&lt;Chart_calc!Z5,Chart_calc!Z5,Dish!$L$17-Z7)</f>
        <v>28.125</v>
      </c>
      <c r="AA12" s="19">
        <f>IF(Dish!$L$17-AA7&lt;Chart_calc!AA5,Chart_calc!AA5,Dish!$L$17-AA7)</f>
        <v>25.91709701899517</v>
      </c>
      <c r="AB12" s="19">
        <f>IF(Dish!$L$17-AB7&lt;Chart_calc!AB5,Chart_calc!AB5,Dish!$L$17-AB7)</f>
        <v>23.709194037990343</v>
      </c>
      <c r="AC12" s="19">
        <f>IF(Dish!$L$17-AC7&lt;Chart_calc!AC5,Chart_calc!AC5,Dish!$L$17-AC7)</f>
        <v>21.501291056985515</v>
      </c>
      <c r="AD12" s="19">
        <f>IF(Dish!$L$17-AD7&lt;Chart_calc!AD5,Chart_calc!AD5,Dish!$L$17-AD7)</f>
        <v>19.293388075980687</v>
      </c>
      <c r="AE12" s="19">
        <f>IF(Dish!$L$17-AE7&lt;Chart_calc!AE5,Chart_calc!AE5,Dish!$L$17-AE7)</f>
        <v>17.08548509497586</v>
      </c>
      <c r="AF12" s="19">
        <f>IF(Dish!$L$17-AF7&lt;Chart_calc!AF5,Chart_calc!AF5,Dish!$L$17-AF7)</f>
        <v>14.877582113971032</v>
      </c>
      <c r="AG12" s="19">
        <f>IF(Dish!$L$17-AG7&lt;Chart_calc!AG5,Chart_calc!AG5,Dish!$L$17-AG7)</f>
        <v>12.669679132966204</v>
      </c>
      <c r="AH12" s="19">
        <f>IF(Dish!$L$17-AH7&lt;Chart_calc!AH5,Chart_calc!AH5,Dish!$L$17-AH7)</f>
        <v>10.461776151961374</v>
      </c>
      <c r="AI12" s="19">
        <f>IF(Dish!$L$17-AI7&lt;Chart_calc!AI5,Chart_calc!AI5,Dish!$L$17-AI7)</f>
        <v>8.253873170956545</v>
      </c>
      <c r="AJ12" s="19">
        <f>IF(Dish!$L$17-AJ7&lt;Chart_calc!AJ5,Chart_calc!AJ5,Dish!$L$17-AJ7)</f>
        <v>6.045970189951717</v>
      </c>
      <c r="AK12" s="19">
        <f>IF(Dish!$L$17-AK7&lt;Chart_calc!AK5,Chart_calc!AK5,Dish!$L$17-AK7)</f>
        <v>3.8380672089468924</v>
      </c>
      <c r="AL12" s="19">
        <f>IF(Dish!$L$17-AL7&lt;Chart_calc!AL5,Chart_calc!AL5,Dish!$L$17-AL7)</f>
        <v>2</v>
      </c>
      <c r="AM12" s="19">
        <f>IF(Dish!$L$17-AM7&lt;Chart_calc!AM5,Chart_calc!AM5,Dish!$L$17-AM7)</f>
        <v>2.3472222222222223</v>
      </c>
      <c r="AN12" s="19">
        <f>IF(Dish!$L$17-AN7&lt;Chart_calc!AN5,Chart_calc!AN5,Dish!$L$17-AN7)</f>
        <v>2.7222222222222223</v>
      </c>
      <c r="AO12" s="19">
        <f>IF(Dish!$L$17-AO7&lt;Chart_calc!AO5,Chart_calc!AO5,Dish!$L$17-AO7)</f>
        <v>3.125</v>
      </c>
      <c r="AP12" s="19">
        <f>IF(Dish!$L$17-AP7&lt;Chart_calc!AP5,Chart_calc!AP5,Dish!$L$17-AP7)</f>
        <v>3.5555555555555554</v>
      </c>
      <c r="AQ12" s="19">
        <f>IF(Dish!$L$17-AQ7&lt;Chart_calc!AQ5,Chart_calc!AQ5,Dish!$L$17-AQ7)</f>
        <v>4.013888888888889</v>
      </c>
      <c r="AR12" s="19">
        <f>IF(Dish!$L$17-AR7&lt;Chart_calc!AR5,Chart_calc!AR5,Dish!$L$17-AR7)</f>
        <v>4.5</v>
      </c>
      <c r="AS12" s="19">
        <f>IF(Dish!$L$17-AS7&lt;Chart_calc!AS5,Chart_calc!AS5,Dish!$L$17-AS7)</f>
        <v>5.013888888888889</v>
      </c>
      <c r="AT12" s="19">
        <f>IF(Dish!$L$17-AT7&lt;Chart_calc!AT5,Chart_calc!AT5,Dish!$L$17-AT7)</f>
        <v>5.555555555555555</v>
      </c>
      <c r="AU12" s="19">
        <f>IF(Dish!$L$17-AU7&lt;Chart_calc!AU5,Chart_calc!AU5,Dish!$L$17-AU7)</f>
        <v>6.125</v>
      </c>
      <c r="AV12" s="19">
        <f>IF(Dish!$L$17-AV7&lt;Chart_calc!AV5,Chart_calc!AV5,Dish!$L$17-AV7)</f>
        <v>6.722222222222222</v>
      </c>
      <c r="AW12" s="19">
        <f>IF(Dish!$L$17-AW7&lt;Chart_calc!AW5,Chart_calc!AW5,Dish!$L$17-AW7)</f>
        <v>7.347222222222222</v>
      </c>
      <c r="AX12" s="19">
        <f>IF(Dish!$L$17-AX7&lt;Chart_calc!AX5,Chart_calc!AX5,Dish!$L$17-AX7)</f>
        <v>8</v>
      </c>
    </row>
    <row r="13" spans="2:50" ht="11.25">
      <c r="B13" s="19">
        <f>IF(Dish!$L$17-B8&lt;Chart_calc!B5,Chart_calc!B5,Dish!$L$17-B8)</f>
        <v>8</v>
      </c>
      <c r="C13" s="19">
        <f>IF(Dish!$L$17-C8&lt;Chart_calc!C5,Chart_calc!C5,Dish!$L$17-C8)</f>
        <v>7.347222222222222</v>
      </c>
      <c r="D13" s="19">
        <f>IF(Dish!$L$17-D8&lt;Chart_calc!D5,Chart_calc!D5,Dish!$L$17-D8)</f>
        <v>6.722222222222222</v>
      </c>
      <c r="E13" s="19">
        <f>IF(Dish!$L$17-E8&lt;Chart_calc!E5,Chart_calc!E5,Dish!$L$17-E8)</f>
        <v>6.125</v>
      </c>
      <c r="F13" s="19">
        <f>IF(Dish!$L$17-F8&lt;Chart_calc!F5,Chart_calc!F5,Dish!$L$17-F8)</f>
        <v>5.6760465918495235</v>
      </c>
      <c r="G13" s="19">
        <f>IF(Dish!$L$17-G8&lt;Chart_calc!G5,Chart_calc!G5,Dish!$L$17-G8)</f>
        <v>6.798494262257048</v>
      </c>
      <c r="H13" s="19">
        <f>IF(Dish!$L$17-H8&lt;Chart_calc!H5,Chart_calc!H5,Dish!$L$17-H8)</f>
        <v>7.920941932664572</v>
      </c>
      <c r="I13" s="19">
        <f>IF(Dish!$L$17-I8&lt;Chart_calc!I5,Chart_calc!I5,Dish!$L$17-I8)</f>
        <v>9.043389603072097</v>
      </c>
      <c r="J13" s="19">
        <f>IF(Dish!$L$17-J8&lt;Chart_calc!J5,Chart_calc!J5,Dish!$L$17-J8)</f>
        <v>10.165837273479617</v>
      </c>
      <c r="K13" s="19">
        <f>IF(Dish!$L$17-K8&lt;Chart_calc!K5,Chart_calc!K5,Dish!$L$17-K8)</f>
        <v>11.288284943887142</v>
      </c>
      <c r="L13" s="19">
        <f>IF(Dish!$L$17-L8&lt;Chart_calc!L5,Chart_calc!L5,Dish!$L$17-L8)</f>
        <v>12.410732614294666</v>
      </c>
      <c r="M13" s="19">
        <f>IF(Dish!$L$17-M8&lt;Chart_calc!M5,Chart_calc!M5,Dish!$L$17-M8)</f>
        <v>13.53318028470219</v>
      </c>
      <c r="N13" s="19">
        <f>IF(Dish!$L$17-N8&lt;Chart_calc!N5,Chart_calc!N5,Dish!$L$17-N8)</f>
        <v>14.655627955109715</v>
      </c>
      <c r="O13" s="19">
        <f>IF(Dish!$L$17-O8&lt;Chart_calc!O5,Chart_calc!O5,Dish!$L$17-O8)</f>
        <v>15.778075625517237</v>
      </c>
      <c r="P13" s="19">
        <f>IF(Dish!$L$17-P8&lt;Chart_calc!P5,Chart_calc!P5,Dish!$L$17-P8)</f>
        <v>16.900523295924764</v>
      </c>
      <c r="Q13" s="19">
        <f>IF(Dish!$L$17-Q8&lt;Chart_calc!Q5,Chart_calc!Q5,Dish!$L$17-Q8)</f>
        <v>18.022970966332288</v>
      </c>
      <c r="R13" s="19">
        <f>IF(Dish!$L$17-R8&lt;Chart_calc!R5,Chart_calc!R5,Dish!$L$17-R8)</f>
        <v>19.14541863673981</v>
      </c>
      <c r="S13" s="19">
        <f>IF(Dish!$L$17-S8&lt;Chart_calc!S5,Chart_calc!S5,Dish!$L$17-S8)</f>
        <v>20.267866307147333</v>
      </c>
      <c r="T13" s="19">
        <f>IF(Dish!$L$17-T8&lt;Chart_calc!T5,Chart_calc!T5,Dish!$L$17-T8)</f>
        <v>21.390313977554857</v>
      </c>
      <c r="U13" s="19">
        <f>IF(Dish!$L$17-U8&lt;Chart_calc!U5,Chart_calc!U5,Dish!$L$17-U8)</f>
        <v>22.51276164796238</v>
      </c>
      <c r="V13" s="19">
        <f>IF(Dish!$L$17-V8&lt;Chart_calc!V5,Chart_calc!V5,Dish!$L$17-V8)</f>
        <v>23.635209318369903</v>
      </c>
      <c r="W13" s="19">
        <f>IF(Dish!$L$17-W8&lt;Chart_calc!W5,Chart_calc!W5,Dish!$L$17-W8)</f>
        <v>24.757656988777427</v>
      </c>
      <c r="X13" s="19">
        <f>IF(Dish!$L$17-X8&lt;Chart_calc!X5,Chart_calc!X5,Dish!$L$17-X8)</f>
        <v>25.88010465918495</v>
      </c>
      <c r="Y13" s="19">
        <f>IF(Dish!$L$17-Y8&lt;Chart_calc!Y5,Chart_calc!Y5,Dish!$L$17-Y8)</f>
        <v>27.002552329592476</v>
      </c>
      <c r="Z13" s="19">
        <f>IF(Dish!$L$17-Z8&lt;Chart_calc!Z5,Chart_calc!Z5,Dish!$L$17-Z8)</f>
        <v>28.125</v>
      </c>
      <c r="AA13" s="19">
        <f>IF(Dish!$L$17-AA8&lt;Chart_calc!AA5,Chart_calc!AA5,Dish!$L$17-AA8)</f>
        <v>27.002552329592476</v>
      </c>
      <c r="AB13" s="19">
        <f>IF(Dish!$L$17-AB8&lt;Chart_calc!AB5,Chart_calc!AB5,Dish!$L$17-AB8)</f>
        <v>25.88010465918495</v>
      </c>
      <c r="AC13" s="19">
        <f>IF(Dish!$L$17-AC8&lt;Chart_calc!AC5,Chart_calc!AC5,Dish!$L$17-AC8)</f>
        <v>24.757656988777427</v>
      </c>
      <c r="AD13" s="19">
        <f>IF(Dish!$L$17-AD8&lt;Chart_calc!AD5,Chart_calc!AD5,Dish!$L$17-AD8)</f>
        <v>23.635209318369903</v>
      </c>
      <c r="AE13" s="19">
        <f>IF(Dish!$L$17-AE8&lt;Chart_calc!AE5,Chart_calc!AE5,Dish!$L$17-AE8)</f>
        <v>22.51276164796238</v>
      </c>
      <c r="AF13" s="19">
        <f>IF(Dish!$L$17-AF8&lt;Chart_calc!AF5,Chart_calc!AF5,Dish!$L$17-AF8)</f>
        <v>21.390313977554857</v>
      </c>
      <c r="AG13" s="19">
        <f>IF(Dish!$L$17-AG8&lt;Chart_calc!AG5,Chart_calc!AG5,Dish!$L$17-AG8)</f>
        <v>20.267866307147333</v>
      </c>
      <c r="AH13" s="19">
        <f>IF(Dish!$L$17-AH8&lt;Chart_calc!AH5,Chart_calc!AH5,Dish!$L$17-AH8)</f>
        <v>19.14541863673981</v>
      </c>
      <c r="AI13" s="19">
        <f>IF(Dish!$L$17-AI8&lt;Chart_calc!AI5,Chart_calc!AI5,Dish!$L$17-AI8)</f>
        <v>18.022970966332288</v>
      </c>
      <c r="AJ13" s="19">
        <f>IF(Dish!$L$17-AJ8&lt;Chart_calc!AJ5,Chart_calc!AJ5,Dish!$L$17-AJ8)</f>
        <v>16.900523295924764</v>
      </c>
      <c r="AK13" s="19">
        <f>IF(Dish!$L$17-AK8&lt;Chart_calc!AK5,Chart_calc!AK5,Dish!$L$17-AK8)</f>
        <v>15.778075625517237</v>
      </c>
      <c r="AL13" s="19">
        <f>IF(Dish!$L$17-AL8&lt;Chart_calc!AL5,Chart_calc!AL5,Dish!$L$17-AL8)</f>
        <v>14.655627955109715</v>
      </c>
      <c r="AM13" s="19">
        <f>IF(Dish!$L$17-AM8&lt;Chart_calc!AM5,Chart_calc!AM5,Dish!$L$17-AM8)</f>
        <v>13.53318028470219</v>
      </c>
      <c r="AN13" s="19">
        <f>IF(Dish!$L$17-AN8&lt;Chart_calc!AN5,Chart_calc!AN5,Dish!$L$17-AN8)</f>
        <v>12.410732614294666</v>
      </c>
      <c r="AO13" s="19">
        <f>IF(Dish!$L$17-AO8&lt;Chart_calc!AO5,Chart_calc!AO5,Dish!$L$17-AO8)</f>
        <v>11.288284943887142</v>
      </c>
      <c r="AP13" s="19">
        <f>IF(Dish!$L$17-AP8&lt;Chart_calc!AP5,Chart_calc!AP5,Dish!$L$17-AP8)</f>
        <v>10.165837273479617</v>
      </c>
      <c r="AQ13" s="19">
        <f>IF(Dish!$L$17-AQ8&lt;Chart_calc!AQ5,Chart_calc!AQ5,Dish!$L$17-AQ8)</f>
        <v>9.043389603072097</v>
      </c>
      <c r="AR13" s="19">
        <f>IF(Dish!$L$17-AR8&lt;Chart_calc!AR5,Chart_calc!AR5,Dish!$L$17-AR8)</f>
        <v>7.920941932664572</v>
      </c>
      <c r="AS13" s="19">
        <f>IF(Dish!$L$17-AS8&lt;Chart_calc!AS5,Chart_calc!AS5,Dish!$L$17-AS8)</f>
        <v>6.798494262257048</v>
      </c>
      <c r="AT13" s="19">
        <f>IF(Dish!$L$17-AT8&lt;Chart_calc!AT5,Chart_calc!AT5,Dish!$L$17-AT8)</f>
        <v>5.6760465918495235</v>
      </c>
      <c r="AU13" s="19">
        <f>IF(Dish!$L$17-AU8&lt;Chart_calc!AU5,Chart_calc!AU5,Dish!$L$17-AU8)</f>
        <v>6.125</v>
      </c>
      <c r="AV13" s="19">
        <f>IF(Dish!$L$17-AV8&lt;Chart_calc!AV5,Chart_calc!AV5,Dish!$L$17-AV8)</f>
        <v>6.722222222222222</v>
      </c>
      <c r="AW13" s="19">
        <f>IF(Dish!$L$17-AW8&lt;Chart_calc!AW5,Chart_calc!AW5,Dish!$L$17-AW8)</f>
        <v>7.347222222222222</v>
      </c>
      <c r="AX13" s="19">
        <f>IF(Dish!$L$17-AX8&lt;Chart_calc!AX5,Chart_calc!AX5,Dish!$L$17-AX8)</f>
        <v>8</v>
      </c>
    </row>
    <row r="14" spans="2:50" ht="11.25">
      <c r="B14" s="19">
        <f>IF(Dish!$L$17-B9&lt;Chart_calc!B5,Chart_calc!B5,Dish!$L$17-B9)</f>
        <v>8</v>
      </c>
      <c r="C14" s="19">
        <f>IF(Dish!$L$17-C9&lt;Chart_calc!C5,Chart_calc!C5,Dish!$L$17-C9)</f>
        <v>8.038290129429438</v>
      </c>
      <c r="D14" s="19">
        <f>IF(Dish!$L$17-D9&lt;Chart_calc!D5,Chart_calc!D5,Dish!$L$17-D9)</f>
        <v>8.911625341193375</v>
      </c>
      <c r="E14" s="19">
        <f>IF(Dish!$L$17-E9&lt;Chart_calc!E5,Chart_calc!E5,Dish!$L$17-E9)</f>
        <v>9.784960552957315</v>
      </c>
      <c r="F14" s="19">
        <f>IF(Dish!$L$17-F9&lt;Chart_calc!F5,Chart_calc!F5,Dish!$L$17-F9)</f>
        <v>10.658295764721252</v>
      </c>
      <c r="G14" s="19">
        <f>IF(Dish!$L$17-G9&lt;Chart_calc!G5,Chart_calc!G5,Dish!$L$17-G9)</f>
        <v>11.53163097648519</v>
      </c>
      <c r="H14" s="19">
        <f>IF(Dish!$L$17-H9&lt;Chart_calc!H5,Chart_calc!H5,Dish!$L$17-H9)</f>
        <v>12.404966188249126</v>
      </c>
      <c r="I14" s="19">
        <f>IF(Dish!$L$17-I9&lt;Chart_calc!I5,Chart_calc!I5,Dish!$L$17-I9)</f>
        <v>13.278301400013063</v>
      </c>
      <c r="J14" s="19">
        <f>IF(Dish!$L$17-J9&lt;Chart_calc!J5,Chart_calc!J5,Dish!$L$17-J9)</f>
        <v>14.151636611777</v>
      </c>
      <c r="K14" s="19">
        <f>IF(Dish!$L$17-K9&lt;Chart_calc!K5,Chart_calc!K5,Dish!$L$17-K9)</f>
        <v>15.024971823540938</v>
      </c>
      <c r="L14" s="19">
        <f>IF(Dish!$L$17-L9&lt;Chart_calc!L5,Chart_calc!L5,Dish!$L$17-L9)</f>
        <v>15.898307035304876</v>
      </c>
      <c r="M14" s="19">
        <f>IF(Dish!$L$17-M9&lt;Chart_calc!M5,Chart_calc!M5,Dish!$L$17-M9)</f>
        <v>16.77164224706881</v>
      </c>
      <c r="N14" s="19">
        <f>IF(Dish!$L$17-N9&lt;Chart_calc!N5,Chart_calc!N5,Dish!$L$17-N9)</f>
        <v>17.64497745883275</v>
      </c>
      <c r="O14" s="19">
        <f>IF(Dish!$L$17-O9&lt;Chart_calc!O5,Chart_calc!O5,Dish!$L$17-O9)</f>
        <v>18.518312670596686</v>
      </c>
      <c r="P14" s="19">
        <f>IF(Dish!$L$17-P9&lt;Chart_calc!P5,Chart_calc!P5,Dish!$L$17-P9)</f>
        <v>19.391647882360626</v>
      </c>
      <c r="Q14" s="19">
        <f>IF(Dish!$L$17-Q9&lt;Chart_calc!Q5,Chart_calc!Q5,Dish!$L$17-Q9)</f>
        <v>20.264983094124563</v>
      </c>
      <c r="R14" s="19">
        <f>IF(Dish!$L$17-R9&lt;Chart_calc!R5,Chart_calc!R5,Dish!$L$17-R9)</f>
        <v>21.1383183058885</v>
      </c>
      <c r="S14" s="19">
        <f>IF(Dish!$L$17-S9&lt;Chart_calc!S5,Chart_calc!S5,Dish!$L$17-S9)</f>
        <v>22.011653517652437</v>
      </c>
      <c r="T14" s="19">
        <f>IF(Dish!$L$17-T9&lt;Chart_calc!T5,Chart_calc!T5,Dish!$L$17-T9)</f>
        <v>22.884988729416374</v>
      </c>
      <c r="U14" s="19">
        <f>IF(Dish!$L$17-U9&lt;Chart_calc!U5,Chart_calc!U5,Dish!$L$17-U9)</f>
        <v>23.758323941180315</v>
      </c>
      <c r="V14" s="19">
        <f>IF(Dish!$L$17-V9&lt;Chart_calc!V5,Chart_calc!V5,Dish!$L$17-V9)</f>
        <v>24.631659152944252</v>
      </c>
      <c r="W14" s="19">
        <f>IF(Dish!$L$17-W9&lt;Chart_calc!W5,Chart_calc!W5,Dish!$L$17-W9)</f>
        <v>25.50499436470819</v>
      </c>
      <c r="X14" s="19">
        <f>IF(Dish!$L$17-X9&lt;Chart_calc!X5,Chart_calc!X5,Dish!$L$17-X9)</f>
        <v>26.378329576472126</v>
      </c>
      <c r="Y14" s="19">
        <f>IF(Dish!$L$17-Y9&lt;Chart_calc!Y5,Chart_calc!Y5,Dish!$L$17-Y9)</f>
        <v>27.251664788236063</v>
      </c>
      <c r="Z14" s="19">
        <f>IF(Dish!$L$17-Z9&lt;Chart_calc!Z5,Chart_calc!Z5,Dish!$L$17-Z9)</f>
        <v>28.125</v>
      </c>
      <c r="AA14" s="19">
        <f>IF(Dish!$L$17-AA9&lt;Chart_calc!AA5,Chart_calc!AA5,Dish!$L$17-AA9)</f>
        <v>27.251664788236063</v>
      </c>
      <c r="AB14" s="19">
        <f>IF(Dish!$L$17-AB9&lt;Chart_calc!AB5,Chart_calc!AB5,Dish!$L$17-AB9)</f>
        <v>26.378329576472126</v>
      </c>
      <c r="AC14" s="19">
        <f>IF(Dish!$L$17-AC9&lt;Chart_calc!AC5,Chart_calc!AC5,Dish!$L$17-AC9)</f>
        <v>25.50499436470819</v>
      </c>
      <c r="AD14" s="19">
        <f>IF(Dish!$L$17-AD9&lt;Chart_calc!AD5,Chart_calc!AD5,Dish!$L$17-AD9)</f>
        <v>24.631659152944252</v>
      </c>
      <c r="AE14" s="19">
        <f>IF(Dish!$L$17-AE9&lt;Chart_calc!AE5,Chart_calc!AE5,Dish!$L$17-AE9)</f>
        <v>23.758323941180315</v>
      </c>
      <c r="AF14" s="19">
        <f>IF(Dish!$L$17-AF9&lt;Chart_calc!AF5,Chart_calc!AF5,Dish!$L$17-AF9)</f>
        <v>22.884988729416374</v>
      </c>
      <c r="AG14" s="19">
        <f>IF(Dish!$L$17-AG9&lt;Chart_calc!AG5,Chart_calc!AG5,Dish!$L$17-AG9)</f>
        <v>22.011653517652437</v>
      </c>
      <c r="AH14" s="19">
        <f>IF(Dish!$L$17-AH9&lt;Chart_calc!AH5,Chart_calc!AH5,Dish!$L$17-AH9)</f>
        <v>21.1383183058885</v>
      </c>
      <c r="AI14" s="19">
        <f>IF(Dish!$L$17-AI9&lt;Chart_calc!AI5,Chart_calc!AI5,Dish!$L$17-AI9)</f>
        <v>20.264983094124563</v>
      </c>
      <c r="AJ14" s="19">
        <f>IF(Dish!$L$17-AJ9&lt;Chart_calc!AJ5,Chart_calc!AJ5,Dish!$L$17-AJ9)</f>
        <v>19.391647882360626</v>
      </c>
      <c r="AK14" s="19">
        <f>IF(Dish!$L$17-AK9&lt;Chart_calc!AK5,Chart_calc!AK5,Dish!$L$17-AK9)</f>
        <v>18.518312670596686</v>
      </c>
      <c r="AL14" s="19">
        <f>IF(Dish!$L$17-AL9&lt;Chart_calc!AL5,Chart_calc!AL5,Dish!$L$17-AL9)</f>
        <v>17.64497745883275</v>
      </c>
      <c r="AM14" s="19">
        <f>IF(Dish!$L$17-AM9&lt;Chart_calc!AM5,Chart_calc!AM5,Dish!$L$17-AM9)</f>
        <v>16.77164224706881</v>
      </c>
      <c r="AN14" s="19">
        <f>IF(Dish!$L$17-AN9&lt;Chart_calc!AN5,Chart_calc!AN5,Dish!$L$17-AN9)</f>
        <v>15.898307035304876</v>
      </c>
      <c r="AO14" s="19">
        <f>IF(Dish!$L$17-AO9&lt;Chart_calc!AO5,Chart_calc!AO5,Dish!$L$17-AO9)</f>
        <v>15.024971823540938</v>
      </c>
      <c r="AP14" s="19">
        <f>IF(Dish!$L$17-AP9&lt;Chart_calc!AP5,Chart_calc!AP5,Dish!$L$17-AP9)</f>
        <v>14.151636611777</v>
      </c>
      <c r="AQ14" s="19">
        <f>IF(Dish!$L$17-AQ9&lt;Chart_calc!AQ5,Chart_calc!AQ5,Dish!$L$17-AQ9)</f>
        <v>13.278301400013063</v>
      </c>
      <c r="AR14" s="19">
        <f>IF(Dish!$L$17-AR9&lt;Chart_calc!AR5,Chart_calc!AR5,Dish!$L$17-AR9)</f>
        <v>12.404966188249126</v>
      </c>
      <c r="AS14" s="19">
        <f>IF(Dish!$L$17-AS9&lt;Chart_calc!AS5,Chart_calc!AS5,Dish!$L$17-AS9)</f>
        <v>11.53163097648519</v>
      </c>
      <c r="AT14" s="19">
        <f>IF(Dish!$L$17-AT9&lt;Chart_calc!AT5,Chart_calc!AT5,Dish!$L$17-AT9)</f>
        <v>10.658295764721252</v>
      </c>
      <c r="AU14" s="19">
        <f>IF(Dish!$L$17-AU9&lt;Chart_calc!AU5,Chart_calc!AU5,Dish!$L$17-AU9)</f>
        <v>9.784960552957315</v>
      </c>
      <c r="AV14" s="19">
        <f>IF(Dish!$L$17-AV9&lt;Chart_calc!AV5,Chart_calc!AV5,Dish!$L$17-AV9)</f>
        <v>8.911625341193375</v>
      </c>
      <c r="AW14" s="19">
        <f>IF(Dish!$L$17-AW9&lt;Chart_calc!AW5,Chart_calc!AW5,Dish!$L$17-AW9)</f>
        <v>8.038290129429438</v>
      </c>
      <c r="AX14" s="19">
        <f>IF(Dish!$L$17-AX9&lt;Chart_calc!AX5,Chart_calc!AX5,Dish!$L$17-AX9)</f>
        <v>8</v>
      </c>
    </row>
    <row r="15" spans="2:50" ht="11.25">
      <c r="B15" s="19">
        <f>IF(Dish!$L$17-B10&lt;Chart_calc!B5,Chart_calc!B5,Dish!$L$17-B10)</f>
        <v>10.122385200199993</v>
      </c>
      <c r="C15" s="19">
        <f>IF(Dish!$L$17-C10&lt;Chart_calc!C5,Chart_calc!C5,Dish!$L$17-C10)</f>
        <v>10.872494150191663</v>
      </c>
      <c r="D15" s="19">
        <f>IF(Dish!$L$17-D10&lt;Chart_calc!D5,Chart_calc!D5,Dish!$L$17-D10)</f>
        <v>11.62260310018333</v>
      </c>
      <c r="E15" s="19">
        <f>IF(Dish!$L$17-E10&lt;Chart_calc!E5,Chart_calc!E5,Dish!$L$17-E10)</f>
        <v>12.372712050174995</v>
      </c>
      <c r="F15" s="19">
        <f>IF(Dish!$L$17-F10&lt;Chart_calc!F5,Chart_calc!F5,Dish!$L$17-F10)</f>
        <v>13.122821000166663</v>
      </c>
      <c r="G15" s="19">
        <f>IF(Dish!$L$17-G10&lt;Chart_calc!G5,Chart_calc!G5,Dish!$L$17-G10)</f>
        <v>13.87292995015833</v>
      </c>
      <c r="H15" s="19">
        <f>IF(Dish!$L$17-H10&lt;Chart_calc!H5,Chart_calc!H5,Dish!$L$17-H10)</f>
        <v>14.623038900149997</v>
      </c>
      <c r="I15" s="19">
        <f>IF(Dish!$L$17-I10&lt;Chart_calc!I5,Chart_calc!I5,Dish!$L$17-I10)</f>
        <v>15.373147850141663</v>
      </c>
      <c r="J15" s="19">
        <f>IF(Dish!$L$17-J10&lt;Chart_calc!J5,Chart_calc!J5,Dish!$L$17-J10)</f>
        <v>16.12325680013333</v>
      </c>
      <c r="K15" s="19">
        <f>IF(Dish!$L$17-K10&lt;Chart_calc!K5,Chart_calc!K5,Dish!$L$17-K10)</f>
        <v>16.873365750124997</v>
      </c>
      <c r="L15" s="19">
        <f>IF(Dish!$L$17-L10&lt;Chart_calc!L5,Chart_calc!L5,Dish!$L$17-L10)</f>
        <v>17.623474700116663</v>
      </c>
      <c r="M15" s="19">
        <f>IF(Dish!$L$17-M10&lt;Chart_calc!M5,Chart_calc!M5,Dish!$L$17-M10)</f>
        <v>18.37358365010833</v>
      </c>
      <c r="N15" s="19">
        <f>IF(Dish!$L$17-N10&lt;Chart_calc!N5,Chart_calc!N5,Dish!$L$17-N10)</f>
        <v>19.123692600099996</v>
      </c>
      <c r="O15" s="19">
        <f>IF(Dish!$L$17-O10&lt;Chart_calc!O5,Chart_calc!O5,Dish!$L$17-O10)</f>
        <v>19.873801550091663</v>
      </c>
      <c r="P15" s="19">
        <f>IF(Dish!$L$17-P10&lt;Chart_calc!P5,Chart_calc!P5,Dish!$L$17-P10)</f>
        <v>20.623910500083333</v>
      </c>
      <c r="Q15" s="19">
        <f>IF(Dish!$L$17-Q10&lt;Chart_calc!Q5,Chart_calc!Q5,Dish!$L$17-Q10)</f>
        <v>21.374019450074996</v>
      </c>
      <c r="R15" s="19">
        <f>IF(Dish!$L$17-R10&lt;Chart_calc!R5,Chart_calc!R5,Dish!$L$17-R10)</f>
        <v>22.124128400066667</v>
      </c>
      <c r="S15" s="19">
        <f>IF(Dish!$L$17-S10&lt;Chart_calc!S5,Chart_calc!S5,Dish!$L$17-S10)</f>
        <v>22.87423735005833</v>
      </c>
      <c r="T15" s="19">
        <f>IF(Dish!$L$17-T10&lt;Chart_calc!T5,Chart_calc!T5,Dish!$L$17-T10)</f>
        <v>23.62434630005</v>
      </c>
      <c r="U15" s="19">
        <f>IF(Dish!$L$17-U10&lt;Chart_calc!U5,Chart_calc!U5,Dish!$L$17-U10)</f>
        <v>24.374455250041667</v>
      </c>
      <c r="V15" s="19">
        <f>IF(Dish!$L$17-V10&lt;Chart_calc!V5,Chart_calc!V5,Dish!$L$17-V10)</f>
        <v>25.124564200033333</v>
      </c>
      <c r="W15" s="19">
        <f>IF(Dish!$L$17-W10&lt;Chart_calc!W5,Chart_calc!W5,Dish!$L$17-W10)</f>
        <v>25.874673150025</v>
      </c>
      <c r="X15" s="19">
        <f>IF(Dish!$L$17-X10&lt;Chart_calc!X5,Chart_calc!X5,Dish!$L$17-X10)</f>
        <v>26.624782100016667</v>
      </c>
      <c r="Y15" s="19">
        <f>IF(Dish!$L$17-Y10&lt;Chart_calc!Y5,Chart_calc!Y5,Dish!$L$17-Y10)</f>
        <v>27.374891050008333</v>
      </c>
      <c r="Z15" s="19">
        <f>IF(Dish!$L$17-Z10&lt;Chart_calc!Z5,Chart_calc!Z5,Dish!$L$17-Z10)</f>
        <v>28.125</v>
      </c>
      <c r="AA15" s="19">
        <f>IF(Dish!$L$17-AA10&lt;Chart_calc!AA5,Chart_calc!AA5,Dish!$L$17-AA10)</f>
        <v>27.374891050008333</v>
      </c>
      <c r="AB15" s="19">
        <f>IF(Dish!$L$17-AB10&lt;Chart_calc!AB5,Chart_calc!AB5,Dish!$L$17-AB10)</f>
        <v>26.624782100016667</v>
      </c>
      <c r="AC15" s="19">
        <f>IF(Dish!$L$17-AC10&lt;Chart_calc!AC5,Chart_calc!AC5,Dish!$L$17-AC10)</f>
        <v>25.874673150025</v>
      </c>
      <c r="AD15" s="19">
        <f>IF(Dish!$L$17-AD10&lt;Chart_calc!AD5,Chart_calc!AD5,Dish!$L$17-AD10)</f>
        <v>25.124564200033333</v>
      </c>
      <c r="AE15" s="19">
        <f>IF(Dish!$L$17-AE10&lt;Chart_calc!AE5,Chart_calc!AE5,Dish!$L$17-AE10)</f>
        <v>24.374455250041667</v>
      </c>
      <c r="AF15" s="19">
        <f>IF(Dish!$L$17-AF10&lt;Chart_calc!AF5,Chart_calc!AF5,Dish!$L$17-AF10)</f>
        <v>23.62434630005</v>
      </c>
      <c r="AG15" s="19">
        <f>IF(Dish!$L$17-AG10&lt;Chart_calc!AG5,Chart_calc!AG5,Dish!$L$17-AG10)</f>
        <v>22.87423735005833</v>
      </c>
      <c r="AH15" s="19">
        <f>IF(Dish!$L$17-AH10&lt;Chart_calc!AH5,Chart_calc!AH5,Dish!$L$17-AH10)</f>
        <v>22.124128400066667</v>
      </c>
      <c r="AI15" s="19">
        <f>IF(Dish!$L$17-AI10&lt;Chart_calc!AI5,Chart_calc!AI5,Dish!$L$17-AI10)</f>
        <v>21.374019450074996</v>
      </c>
      <c r="AJ15" s="19">
        <f>IF(Dish!$L$17-AJ10&lt;Chart_calc!AJ5,Chart_calc!AJ5,Dish!$L$17-AJ10)</f>
        <v>20.623910500083333</v>
      </c>
      <c r="AK15" s="19">
        <f>IF(Dish!$L$17-AK10&lt;Chart_calc!AK5,Chart_calc!AK5,Dish!$L$17-AK10)</f>
        <v>19.873801550091663</v>
      </c>
      <c r="AL15" s="19">
        <f>IF(Dish!$L$17-AL10&lt;Chart_calc!AL5,Chart_calc!AL5,Dish!$L$17-AL10)</f>
        <v>19.123692600099996</v>
      </c>
      <c r="AM15" s="19">
        <f>IF(Dish!$L$17-AM10&lt;Chart_calc!AM5,Chart_calc!AM5,Dish!$L$17-AM10)</f>
        <v>18.37358365010833</v>
      </c>
      <c r="AN15" s="19">
        <f>IF(Dish!$L$17-AN10&lt;Chart_calc!AN5,Chart_calc!AN5,Dish!$L$17-AN10)</f>
        <v>17.623474700116663</v>
      </c>
      <c r="AO15" s="19">
        <f>IF(Dish!$L$17-AO10&lt;Chart_calc!AO5,Chart_calc!AO5,Dish!$L$17-AO10)</f>
        <v>16.873365750124997</v>
      </c>
      <c r="AP15" s="19">
        <f>IF(Dish!$L$17-AP10&lt;Chart_calc!AP5,Chart_calc!AP5,Dish!$L$17-AP10)</f>
        <v>16.12325680013333</v>
      </c>
      <c r="AQ15" s="19">
        <f>IF(Dish!$L$17-AQ10&lt;Chart_calc!AQ5,Chart_calc!AQ5,Dish!$L$17-AQ10)</f>
        <v>15.373147850141663</v>
      </c>
      <c r="AR15" s="19">
        <f>IF(Dish!$L$17-AR10&lt;Chart_calc!AR5,Chart_calc!AR5,Dish!$L$17-AR10)</f>
        <v>14.623038900149997</v>
      </c>
      <c r="AS15" s="19">
        <f>IF(Dish!$L$17-AS10&lt;Chart_calc!AS5,Chart_calc!AS5,Dish!$L$17-AS10)</f>
        <v>13.87292995015833</v>
      </c>
      <c r="AT15" s="19">
        <f>IF(Dish!$L$17-AT10&lt;Chart_calc!AT5,Chart_calc!AT5,Dish!$L$17-AT10)</f>
        <v>13.122821000166663</v>
      </c>
      <c r="AU15" s="19">
        <f>IF(Dish!$L$17-AU10&lt;Chart_calc!AU5,Chart_calc!AU5,Dish!$L$17-AU10)</f>
        <v>12.372712050174995</v>
      </c>
      <c r="AV15" s="19">
        <f>IF(Dish!$L$17-AV10&lt;Chart_calc!AV5,Chart_calc!AV5,Dish!$L$17-AV10)</f>
        <v>11.62260310018333</v>
      </c>
      <c r="AW15" s="19">
        <f>IF(Dish!$L$17-AW10&lt;Chart_calc!AW5,Chart_calc!AW5,Dish!$L$17-AW10)</f>
        <v>10.872494150191663</v>
      </c>
      <c r="AX15" s="19">
        <f>IF(Dish!$L$17-AX10&lt;Chart_calc!AX5,Chart_calc!AX5,Dish!$L$17-AX10)</f>
        <v>10.122385200199993</v>
      </c>
    </row>
    <row r="17" spans="2:26" ht="11.25">
      <c r="B17" s="21">
        <f>B4</f>
        <v>8</v>
      </c>
      <c r="C17" s="21">
        <f>D4</f>
        <v>9.677083333333332</v>
      </c>
      <c r="D17" s="21">
        <f>F4</f>
        <v>11.354166666666664</v>
      </c>
      <c r="E17" s="21">
        <f>H4</f>
        <v>13.031249999999996</v>
      </c>
      <c r="F17" s="21">
        <f>J4</f>
        <v>14.708333333333329</v>
      </c>
      <c r="G17" s="21">
        <f>L4</f>
        <v>16.38541666666666</v>
      </c>
      <c r="H17" s="21">
        <f>N4</f>
        <v>18.062499999999996</v>
      </c>
      <c r="I17" s="21">
        <f>P4</f>
        <v>19.739583333333332</v>
      </c>
      <c r="J17" s="21">
        <f>R4</f>
        <v>21.416666666666668</v>
      </c>
      <c r="K17" s="21">
        <f>T4</f>
        <v>23.093750000000004</v>
      </c>
      <c r="L17" s="21">
        <f>V4</f>
        <v>24.77083333333334</v>
      </c>
      <c r="M17" s="21">
        <f>X4</f>
        <v>26.447916666666675</v>
      </c>
      <c r="N17" s="21">
        <f>Z4</f>
        <v>28.125</v>
      </c>
      <c r="O17" s="21">
        <f>AB4</f>
        <v>26.447916666666675</v>
      </c>
      <c r="P17" s="21">
        <f>AD4</f>
        <v>24.77083333333334</v>
      </c>
      <c r="Q17" s="21">
        <f>AF4</f>
        <v>23.093750000000004</v>
      </c>
      <c r="R17" s="21">
        <f>AH4</f>
        <v>21.416666666666668</v>
      </c>
      <c r="S17" s="21">
        <f>AJ4</f>
        <v>19.739583333333332</v>
      </c>
      <c r="T17" s="21">
        <f>AL4</f>
        <v>18.062499999999996</v>
      </c>
      <c r="U17" s="21">
        <f>AN4</f>
        <v>16.38541666666666</v>
      </c>
      <c r="V17" s="21">
        <f>AP4</f>
        <v>14.708333333333329</v>
      </c>
      <c r="W17" s="21">
        <f>AR4</f>
        <v>13.031249999999996</v>
      </c>
      <c r="X17" s="21">
        <f>AT4</f>
        <v>11.354166666666664</v>
      </c>
      <c r="Y17" s="21">
        <f>AV4</f>
        <v>9.677083333333332</v>
      </c>
      <c r="Z17" s="21">
        <f>AX4</f>
        <v>8</v>
      </c>
    </row>
    <row r="18" spans="2:26" ht="11.25">
      <c r="B18" s="21">
        <f>B5</f>
        <v>8</v>
      </c>
      <c r="C18" s="21">
        <f>D5</f>
        <v>6.722222222222222</v>
      </c>
      <c r="D18" s="21">
        <f>F5</f>
        <v>5.555555555555555</v>
      </c>
      <c r="E18" s="21">
        <f>H5</f>
        <v>4.5</v>
      </c>
      <c r="F18" s="21">
        <f>J5</f>
        <v>3.5555555555555554</v>
      </c>
      <c r="G18" s="21">
        <f>L5</f>
        <v>2.7222222222222223</v>
      </c>
      <c r="H18" s="21">
        <f>N5</f>
        <v>2</v>
      </c>
      <c r="I18" s="21">
        <f>P5</f>
        <v>1.3888888888888888</v>
      </c>
      <c r="J18" s="21">
        <f>R5</f>
        <v>0.8888888888888888</v>
      </c>
      <c r="K18" s="21">
        <f>T5</f>
        <v>0.5</v>
      </c>
      <c r="L18" s="21">
        <f>V5</f>
        <v>0.2222222222222222</v>
      </c>
      <c r="M18" s="21">
        <f>X5</f>
        <v>0.05555555555555555</v>
      </c>
      <c r="N18" s="21">
        <f>Z5</f>
        <v>0</v>
      </c>
      <c r="O18" s="21">
        <f>AB5</f>
        <v>0.05555555555555555</v>
      </c>
      <c r="P18" s="21">
        <f>AD5</f>
        <v>0.2222222222222222</v>
      </c>
      <c r="Q18" s="21">
        <f>AF5</f>
        <v>0.5</v>
      </c>
      <c r="R18" s="21">
        <f>AH5</f>
        <v>0.8888888888888888</v>
      </c>
      <c r="S18" s="21">
        <f>AJ5</f>
        <v>1.3888888888888888</v>
      </c>
      <c r="T18" s="21">
        <f>AL5</f>
        <v>2</v>
      </c>
      <c r="U18" s="21">
        <f>AN5</f>
        <v>2.7222222222222223</v>
      </c>
      <c r="V18" s="21">
        <f>AP5</f>
        <v>3.5555555555555554</v>
      </c>
      <c r="W18" s="21">
        <f>AR5</f>
        <v>4.5</v>
      </c>
      <c r="X18" s="21">
        <f>AT5</f>
        <v>5.555555555555555</v>
      </c>
      <c r="Y18" s="21">
        <f>AV5</f>
        <v>6.722222222222222</v>
      </c>
      <c r="Z18" s="21">
        <f>AX5</f>
        <v>8</v>
      </c>
    </row>
    <row r="19" ht="11.25">
      <c r="N19" s="23">
        <f>Dish!L17</f>
        <v>28.125</v>
      </c>
    </row>
    <row r="22" spans="3:10" ht="12.75">
      <c r="C22"/>
      <c r="D22"/>
      <c r="I22"/>
      <c r="J22"/>
    </row>
    <row r="23" spans="3:10" ht="12.75">
      <c r="C23"/>
      <c r="D23"/>
      <c r="E23" s="2"/>
      <c r="F23" s="2"/>
      <c r="G23" s="2"/>
      <c r="H23" s="2"/>
      <c r="I23"/>
      <c r="J23"/>
    </row>
    <row r="24" spans="3:10" ht="12.75">
      <c r="C24"/>
      <c r="D24"/>
      <c r="E24" s="2"/>
      <c r="F24" s="2"/>
      <c r="G24" s="2"/>
      <c r="H24" s="2"/>
      <c r="I24"/>
      <c r="J24"/>
    </row>
    <row r="25" spans="3:10" ht="12.75">
      <c r="C25"/>
      <c r="D25" s="1"/>
      <c r="E25" s="2" t="s">
        <v>40</v>
      </c>
      <c r="F25" s="2" t="s">
        <v>41</v>
      </c>
      <c r="G25" s="2" t="s">
        <v>42</v>
      </c>
      <c r="H25" s="2" t="s">
        <v>52</v>
      </c>
      <c r="I25"/>
      <c r="J25"/>
    </row>
    <row r="26" spans="3:10" ht="12.75">
      <c r="C26"/>
      <c r="D26" s="1" t="s">
        <v>43</v>
      </c>
      <c r="E26" s="2">
        <f>Feed!G29</f>
        <v>59.03257162400675</v>
      </c>
      <c r="F26" s="2">
        <f>Feed!G30</f>
        <v>96.15497724141099</v>
      </c>
      <c r="G26" s="2">
        <f>Feed!G31</f>
        <v>110.11845091401258</v>
      </c>
      <c r="H26" s="2">
        <f>Feed!G32</f>
        <v>118.0651432480135</v>
      </c>
      <c r="I26"/>
      <c r="J26"/>
    </row>
    <row r="27" spans="3:10" ht="12.75">
      <c r="C27"/>
      <c r="D27"/>
      <c r="E27" s="2">
        <f>90-E26/2</f>
        <v>60.483714187996625</v>
      </c>
      <c r="F27" s="2">
        <f>90-F26/2</f>
        <v>41.922511379294505</v>
      </c>
      <c r="G27" s="2">
        <f>90-G26/2</f>
        <v>34.94077454299371</v>
      </c>
      <c r="H27" s="2">
        <f>90-H26/2</f>
        <v>30.96742837599325</v>
      </c>
      <c r="I27"/>
      <c r="J27"/>
    </row>
    <row r="28" spans="3:10" ht="12.75">
      <c r="C28"/>
      <c r="D28"/>
      <c r="E28"/>
      <c r="F28"/>
      <c r="G28"/>
      <c r="H28"/>
      <c r="I28"/>
      <c r="J28"/>
    </row>
    <row r="29" spans="3:10" ht="12.75">
      <c r="C29"/>
      <c r="D29"/>
      <c r="E29"/>
      <c r="F29"/>
      <c r="G29"/>
      <c r="H29"/>
      <c r="I29"/>
      <c r="J29"/>
    </row>
    <row r="30" spans="3:10" ht="12.75">
      <c r="C30"/>
      <c r="D30"/>
      <c r="E30"/>
      <c r="F30"/>
      <c r="G30"/>
      <c r="H30"/>
      <c r="I30"/>
      <c r="J30"/>
    </row>
    <row r="31" spans="3:10" ht="12.75">
      <c r="C31" s="83" t="s">
        <v>37</v>
      </c>
      <c r="D31" s="83"/>
      <c r="E31" s="83" t="s">
        <v>38</v>
      </c>
      <c r="F31" s="83"/>
      <c r="G31" s="83" t="s">
        <v>39</v>
      </c>
      <c r="H31" s="83"/>
      <c r="I31" s="83" t="s">
        <v>53</v>
      </c>
      <c r="J31" s="83"/>
    </row>
    <row r="32" spans="3:10" ht="12.75">
      <c r="C32">
        <v>-1</v>
      </c>
      <c r="D32">
        <f>D52</f>
        <v>1.7663223848038625</v>
      </c>
      <c r="E32">
        <v>-1</v>
      </c>
      <c r="F32">
        <f>F52</f>
        <v>0.8979581363260191</v>
      </c>
      <c r="G32">
        <v>-1</v>
      </c>
      <c r="H32">
        <f>H52</f>
        <v>0.69866816941115</v>
      </c>
      <c r="I32">
        <v>-1</v>
      </c>
      <c r="J32">
        <f>J52</f>
        <v>0.6000871599933335</v>
      </c>
    </row>
    <row r="33" spans="3:10" ht="12.75">
      <c r="C33">
        <v>-0.9</v>
      </c>
      <c r="D33">
        <f>D51</f>
        <v>1.5896901463234763</v>
      </c>
      <c r="E33">
        <v>-0.9</v>
      </c>
      <c r="F33">
        <f>F51</f>
        <v>0.8081623226934171</v>
      </c>
      <c r="G33">
        <v>-0.9</v>
      </c>
      <c r="H33">
        <f>H51</f>
        <v>0.628801352470035</v>
      </c>
      <c r="I33">
        <v>-0.9</v>
      </c>
      <c r="J33">
        <f>J51</f>
        <v>0.5400784439940002</v>
      </c>
    </row>
    <row r="34" spans="3:10" ht="12.75">
      <c r="C34">
        <v>-0.8</v>
      </c>
      <c r="D34">
        <f>D50</f>
        <v>1.41305790784309</v>
      </c>
      <c r="E34">
        <v>-0.8</v>
      </c>
      <c r="F34">
        <f>F50</f>
        <v>0.7183665090608153</v>
      </c>
      <c r="G34">
        <v>-0.8</v>
      </c>
      <c r="H34">
        <f>H50</f>
        <v>0.55893453552892</v>
      </c>
      <c r="I34">
        <v>-0.8</v>
      </c>
      <c r="J34">
        <f>J50</f>
        <v>0.48006972799466685</v>
      </c>
    </row>
    <row r="35" spans="3:10" ht="12.75">
      <c r="C35">
        <v>-0.7</v>
      </c>
      <c r="D35">
        <f>D49</f>
        <v>1.2364256693627036</v>
      </c>
      <c r="E35">
        <v>-0.7</v>
      </c>
      <c r="F35">
        <f>F49</f>
        <v>0.6285706954282133</v>
      </c>
      <c r="G35">
        <v>-0.7</v>
      </c>
      <c r="H35">
        <f>H49</f>
        <v>0.48906771858780496</v>
      </c>
      <c r="I35">
        <v>-0.7</v>
      </c>
      <c r="J35">
        <f>J49</f>
        <v>0.4200610119953334</v>
      </c>
    </row>
    <row r="36" spans="3:10" ht="12.75">
      <c r="C36">
        <v>-0.6</v>
      </c>
      <c r="D36">
        <f>D48</f>
        <v>1.0597934308823174</v>
      </c>
      <c r="E36">
        <v>-0.6</v>
      </c>
      <c r="F36">
        <f>F48</f>
        <v>0.5387748817956114</v>
      </c>
      <c r="G36">
        <v>-0.6</v>
      </c>
      <c r="H36">
        <f>H48</f>
        <v>0.41920090164668994</v>
      </c>
      <c r="I36">
        <v>-0.6</v>
      </c>
      <c r="J36">
        <f>J48</f>
        <v>0.3600522959960001</v>
      </c>
    </row>
    <row r="37" spans="3:10" ht="12.75">
      <c r="C37">
        <v>-0.5</v>
      </c>
      <c r="D37">
        <f>D47</f>
        <v>0.8831611924019312</v>
      </c>
      <c r="E37">
        <v>-0.5</v>
      </c>
      <c r="F37">
        <f>F47</f>
        <v>0.44897906816300953</v>
      </c>
      <c r="G37">
        <v>-0.5</v>
      </c>
      <c r="H37">
        <f>H47</f>
        <v>0.349334084705575</v>
      </c>
      <c r="I37">
        <v>-0.5</v>
      </c>
      <c r="J37">
        <f>J47</f>
        <v>0.30004357999666675</v>
      </c>
    </row>
    <row r="38" spans="3:10" ht="12.75">
      <c r="C38">
        <v>-0.4</v>
      </c>
      <c r="D38">
        <f>D46</f>
        <v>0.706528953921545</v>
      </c>
      <c r="E38">
        <v>-0.4</v>
      </c>
      <c r="F38">
        <f>F46</f>
        <v>0.35918325453040767</v>
      </c>
      <c r="G38">
        <v>-0.4</v>
      </c>
      <c r="H38">
        <f>H46</f>
        <v>0.27946726776446</v>
      </c>
      <c r="I38">
        <v>-0.4</v>
      </c>
      <c r="J38">
        <f>J46</f>
        <v>0.24003486399733343</v>
      </c>
    </row>
    <row r="39" spans="3:10" ht="12.75">
      <c r="C39">
        <v>-0.3</v>
      </c>
      <c r="D39">
        <f>D45</f>
        <v>0.5298967154411587</v>
      </c>
      <c r="E39">
        <v>-0.3</v>
      </c>
      <c r="F39">
        <f>F45</f>
        <v>0.2693874408978057</v>
      </c>
      <c r="G39">
        <v>-0.3</v>
      </c>
      <c r="H39">
        <f>H45</f>
        <v>0.20960045082334497</v>
      </c>
      <c r="I39">
        <v>-0.3</v>
      </c>
      <c r="J39">
        <f>J45</f>
        <v>0.18002614799800004</v>
      </c>
    </row>
    <row r="40" spans="3:10" ht="12.75">
      <c r="C40">
        <v>-0.2</v>
      </c>
      <c r="D40">
        <f>D44</f>
        <v>0.3532644769607725</v>
      </c>
      <c r="E40">
        <v>-0.2</v>
      </c>
      <c r="F40">
        <f>F44</f>
        <v>0.17959162726520383</v>
      </c>
      <c r="G40">
        <v>-0.2</v>
      </c>
      <c r="H40">
        <f>H44</f>
        <v>0.13973363388223</v>
      </c>
      <c r="I40">
        <v>-0.2</v>
      </c>
      <c r="J40">
        <f>J44</f>
        <v>0.12001743199866671</v>
      </c>
    </row>
    <row r="41" spans="3:10" ht="12.75">
      <c r="C41">
        <v>-0.1</v>
      </c>
      <c r="D41">
        <f>D43</f>
        <v>0.17663223848038626</v>
      </c>
      <c r="E41">
        <v>-0.1</v>
      </c>
      <c r="F41">
        <f>F43</f>
        <v>0.08979581363260192</v>
      </c>
      <c r="G41">
        <v>-0.1</v>
      </c>
      <c r="H41">
        <f>H43</f>
        <v>0.069866816941115</v>
      </c>
      <c r="I41">
        <v>-0.1</v>
      </c>
      <c r="J41">
        <f>J43</f>
        <v>0.060008715999333356</v>
      </c>
    </row>
    <row r="42" spans="3:10" ht="12.75">
      <c r="C42">
        <v>0</v>
      </c>
      <c r="D42">
        <f>C42*TAN(RADIANS(E27))</f>
        <v>0</v>
      </c>
      <c r="E42">
        <v>0</v>
      </c>
      <c r="F42">
        <f>E42*TAN(RADIANS(F27))</f>
        <v>0</v>
      </c>
      <c r="G42">
        <v>0</v>
      </c>
      <c r="H42">
        <f>G42*TAN(RADIANS(G27))</f>
        <v>0</v>
      </c>
      <c r="I42">
        <v>0</v>
      </c>
      <c r="J42">
        <f>I42*TAN(RADIANS(H27))</f>
        <v>0</v>
      </c>
    </row>
    <row r="43" spans="3:10" ht="12.75">
      <c r="C43">
        <v>0.1</v>
      </c>
      <c r="D43">
        <f>C43*TAN(RADIANS(E27))</f>
        <v>0.17663223848038626</v>
      </c>
      <c r="E43">
        <v>0.1</v>
      </c>
      <c r="F43">
        <f>E43*TAN(RADIANS(F27))</f>
        <v>0.08979581363260192</v>
      </c>
      <c r="G43">
        <v>0.1</v>
      </c>
      <c r="H43">
        <f>G43*TAN(RADIANS(G27))</f>
        <v>0.069866816941115</v>
      </c>
      <c r="I43">
        <v>0.1</v>
      </c>
      <c r="J43">
        <f>I43*TAN(RADIANS(H27))</f>
        <v>0.060008715999333356</v>
      </c>
    </row>
    <row r="44" spans="3:10" ht="12.75">
      <c r="C44">
        <v>0.2</v>
      </c>
      <c r="D44">
        <f>C44*TAN(RADIANS(E27))</f>
        <v>0.3532644769607725</v>
      </c>
      <c r="E44">
        <v>0.2</v>
      </c>
      <c r="F44">
        <f>E44*TAN(RADIANS(F27))</f>
        <v>0.17959162726520383</v>
      </c>
      <c r="G44">
        <v>0.2</v>
      </c>
      <c r="H44">
        <f>G44*TAN(RADIANS(G27))</f>
        <v>0.13973363388223</v>
      </c>
      <c r="I44">
        <v>0.2</v>
      </c>
      <c r="J44">
        <f>I44*TAN(RADIANS(H27))</f>
        <v>0.12001743199866671</v>
      </c>
    </row>
    <row r="45" spans="3:10" ht="12.75">
      <c r="C45">
        <v>0.3</v>
      </c>
      <c r="D45">
        <f>C45*TAN(RADIANS(E27))</f>
        <v>0.5298967154411587</v>
      </c>
      <c r="E45">
        <v>0.3</v>
      </c>
      <c r="F45">
        <f>E45*TAN(RADIANS(F27))</f>
        <v>0.2693874408978057</v>
      </c>
      <c r="G45">
        <v>0.3</v>
      </c>
      <c r="H45">
        <f>G45*TAN(RADIANS(G27))</f>
        <v>0.20960045082334497</v>
      </c>
      <c r="I45">
        <v>0.3</v>
      </c>
      <c r="J45">
        <f>I45*TAN(RADIANS(H27))</f>
        <v>0.18002614799800004</v>
      </c>
    </row>
    <row r="46" spans="3:10" ht="12.75">
      <c r="C46">
        <v>0.4</v>
      </c>
      <c r="D46">
        <f>C46*TAN(RADIANS(E27))</f>
        <v>0.706528953921545</v>
      </c>
      <c r="E46">
        <v>0.4</v>
      </c>
      <c r="F46">
        <f>E46*TAN(RADIANS(F27))</f>
        <v>0.35918325453040767</v>
      </c>
      <c r="G46">
        <v>0.4</v>
      </c>
      <c r="H46">
        <f>G46*TAN(RADIANS(G27))</f>
        <v>0.27946726776446</v>
      </c>
      <c r="I46">
        <v>0.4</v>
      </c>
      <c r="J46">
        <f>I46*TAN(RADIANS(H27))</f>
        <v>0.24003486399733343</v>
      </c>
    </row>
    <row r="47" spans="3:10" ht="12.75">
      <c r="C47">
        <v>0.5</v>
      </c>
      <c r="D47">
        <f>C47*TAN(RADIANS(E27))</f>
        <v>0.8831611924019312</v>
      </c>
      <c r="E47">
        <v>0.5</v>
      </c>
      <c r="F47">
        <f>E47*TAN(RADIANS(F27))</f>
        <v>0.44897906816300953</v>
      </c>
      <c r="G47">
        <v>0.5</v>
      </c>
      <c r="H47">
        <f>G47*TAN(RADIANS(G27))</f>
        <v>0.349334084705575</v>
      </c>
      <c r="I47">
        <v>0.5</v>
      </c>
      <c r="J47">
        <f>I47*TAN(RADIANS(H27))</f>
        <v>0.30004357999666675</v>
      </c>
    </row>
    <row r="48" spans="3:10" ht="12.75">
      <c r="C48">
        <v>0.6</v>
      </c>
      <c r="D48">
        <f>C48*TAN(RADIANS(E27))</f>
        <v>1.0597934308823174</v>
      </c>
      <c r="E48">
        <v>0.6</v>
      </c>
      <c r="F48">
        <f>E48*TAN(RADIANS(F27))</f>
        <v>0.5387748817956114</v>
      </c>
      <c r="G48">
        <v>0.6</v>
      </c>
      <c r="H48">
        <f>G48*TAN(RADIANS(G27))</f>
        <v>0.41920090164668994</v>
      </c>
      <c r="I48">
        <v>0.6</v>
      </c>
      <c r="J48">
        <f>I48*TAN(RADIANS(H27))</f>
        <v>0.3600522959960001</v>
      </c>
    </row>
    <row r="49" spans="3:10" ht="12.75">
      <c r="C49">
        <v>0.7</v>
      </c>
      <c r="D49">
        <f>C49*TAN(RADIANS(E27))</f>
        <v>1.2364256693627036</v>
      </c>
      <c r="E49">
        <v>0.7</v>
      </c>
      <c r="F49">
        <f>E49*TAN(RADIANS(F27))</f>
        <v>0.6285706954282133</v>
      </c>
      <c r="G49">
        <v>0.7</v>
      </c>
      <c r="H49">
        <f>G49*TAN(RADIANS(G27))</f>
        <v>0.48906771858780496</v>
      </c>
      <c r="I49">
        <v>0.7</v>
      </c>
      <c r="J49">
        <f>I49*TAN(RADIANS(H27))</f>
        <v>0.4200610119953334</v>
      </c>
    </row>
    <row r="50" spans="3:10" ht="12.75">
      <c r="C50">
        <v>0.8</v>
      </c>
      <c r="D50">
        <f>C50*TAN(RADIANS(E27))</f>
        <v>1.41305790784309</v>
      </c>
      <c r="E50">
        <v>0.8</v>
      </c>
      <c r="F50">
        <f>E50*TAN(RADIANS(F27))</f>
        <v>0.7183665090608153</v>
      </c>
      <c r="G50">
        <v>0.8</v>
      </c>
      <c r="H50">
        <f>G50*TAN(RADIANS(G27))</f>
        <v>0.55893453552892</v>
      </c>
      <c r="I50">
        <v>0.8</v>
      </c>
      <c r="J50">
        <f>I50*TAN(RADIANS(H27))</f>
        <v>0.48006972799466685</v>
      </c>
    </row>
    <row r="51" spans="3:10" ht="12.75">
      <c r="C51">
        <v>0.9</v>
      </c>
      <c r="D51">
        <f>C51*TAN(RADIANS(E27))</f>
        <v>1.5896901463234763</v>
      </c>
      <c r="E51">
        <v>0.9</v>
      </c>
      <c r="F51">
        <f>E51*TAN(RADIANS(F27))</f>
        <v>0.8081623226934171</v>
      </c>
      <c r="G51">
        <v>0.9</v>
      </c>
      <c r="H51">
        <f>G51*TAN(RADIANS(G27))</f>
        <v>0.628801352470035</v>
      </c>
      <c r="I51">
        <v>0.9</v>
      </c>
      <c r="J51">
        <f>I51*TAN(RADIANS(H27))</f>
        <v>0.5400784439940002</v>
      </c>
    </row>
    <row r="52" spans="3:10" ht="12.75">
      <c r="C52">
        <v>1</v>
      </c>
      <c r="D52">
        <f>C52*TAN(RADIANS(E27))</f>
        <v>1.7663223848038625</v>
      </c>
      <c r="E52">
        <v>1</v>
      </c>
      <c r="F52">
        <f>E52*TAN(RADIANS(F27))</f>
        <v>0.8979581363260191</v>
      </c>
      <c r="G52">
        <v>1</v>
      </c>
      <c r="H52">
        <f>G52*TAN(RADIANS(G27))</f>
        <v>0.69866816941115</v>
      </c>
      <c r="I52">
        <v>1</v>
      </c>
      <c r="J52">
        <f>I52*TAN(RADIANS(H27))</f>
        <v>0.6000871599933335</v>
      </c>
    </row>
  </sheetData>
  <mergeCells count="4">
    <mergeCell ref="C31:D31"/>
    <mergeCell ref="E31:F31"/>
    <mergeCell ref="G31:H31"/>
    <mergeCell ref="I31:J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Army AMCOM 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Marcus</dc:creator>
  <cp:keywords/>
  <dc:description/>
  <cp:lastModifiedBy>Gene Marcus</cp:lastModifiedBy>
  <dcterms:created xsi:type="dcterms:W3CDTF">2001-11-19T13:42:13Z</dcterms:created>
  <dcterms:modified xsi:type="dcterms:W3CDTF">2002-02-19T16:59:29Z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